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6" yWindow="48" windowWidth="17964" windowHeight="9804" activeTab="0"/>
  </bookViews>
  <sheets>
    <sheet name="Typogram" sheetId="1" r:id="rId1"/>
    <sheet name="Feuil3" sheetId="2" r:id="rId2"/>
    <sheet name="Feuil1" sheetId="3" r:id="rId3"/>
  </sheets>
  <definedNames>
    <definedName name="M">'Typogram'!#REF!</definedName>
    <definedName name="mod">'Typogram'!$Q$6</definedName>
    <definedName name="_xlnm.Print_Area" localSheetId="0">'Typogram'!$M$13:$AO$51</definedName>
  </definedNames>
  <calcPr fullCalcOnLoad="1"/>
</workbook>
</file>

<file path=xl/sharedStrings.xml><?xml version="1.0" encoding="utf-8"?>
<sst xmlns="http://schemas.openxmlformats.org/spreadsheetml/2006/main" count="258" uniqueCount="139">
  <si>
    <t xml:space="preserve">                                             </t>
  </si>
  <si>
    <t>N°</t>
  </si>
  <si>
    <t>Note</t>
  </si>
  <si>
    <t xml:space="preserve">    Type O</t>
  </si>
  <si>
    <t xml:space="preserve">        Type I</t>
  </si>
  <si>
    <t xml:space="preserve">    Type II</t>
  </si>
  <si>
    <t>résist.</t>
  </si>
  <si>
    <t>diam 0</t>
  </si>
  <si>
    <t>diam I</t>
  </si>
  <si>
    <t>diam II</t>
  </si>
  <si>
    <t>diam.M</t>
  </si>
  <si>
    <t>Laiton</t>
  </si>
  <si>
    <t>Fer</t>
  </si>
  <si>
    <t>M</t>
  </si>
  <si>
    <t xml:space="preserve">                  Type M</t>
  </si>
  <si>
    <t>Cuivre</t>
  </si>
  <si>
    <t>Tension-New</t>
  </si>
  <si>
    <t>Diamètre du trait (mm)</t>
  </si>
  <si>
    <t xml:space="preserve"> </t>
  </si>
  <si>
    <t xml:space="preserve">                  Type XM</t>
  </si>
  <si>
    <t>diam.XM</t>
  </si>
  <si>
    <t>XM</t>
  </si>
  <si>
    <t>Core (mm)</t>
  </si>
  <si>
    <t>Total diameter (mm)</t>
  </si>
  <si>
    <t>Number of strings</t>
  </si>
  <si>
    <t>Total tension/chord</t>
  </si>
  <si>
    <t>Winding type</t>
  </si>
  <si>
    <t>Steel type</t>
  </si>
  <si>
    <t xml:space="preserve">Stress % </t>
  </si>
  <si>
    <t>C0</t>
  </si>
  <si>
    <t>C#0</t>
  </si>
  <si>
    <t>D0</t>
  </si>
  <si>
    <t>D#0</t>
  </si>
  <si>
    <t>E0</t>
  </si>
  <si>
    <t>F0</t>
  </si>
  <si>
    <t>F#0</t>
  </si>
  <si>
    <t>G0</t>
  </si>
  <si>
    <t>G#0</t>
  </si>
  <si>
    <t>A0</t>
  </si>
  <si>
    <t>Bb0</t>
  </si>
  <si>
    <t>B0</t>
  </si>
  <si>
    <t>C1</t>
  </si>
  <si>
    <t>C#1</t>
  </si>
  <si>
    <t>D1</t>
  </si>
  <si>
    <t>D#1</t>
  </si>
  <si>
    <t>E1</t>
  </si>
  <si>
    <t>F1</t>
  </si>
  <si>
    <t>F#1</t>
  </si>
  <si>
    <t>G1</t>
  </si>
  <si>
    <t>G#1</t>
  </si>
  <si>
    <t>A1</t>
  </si>
  <si>
    <t>Bb1</t>
  </si>
  <si>
    <t>B1</t>
  </si>
  <si>
    <t>C2</t>
  </si>
  <si>
    <t>C#2</t>
  </si>
  <si>
    <t>D2</t>
  </si>
  <si>
    <t>D#2</t>
  </si>
  <si>
    <t>E2</t>
  </si>
  <si>
    <t>F2</t>
  </si>
  <si>
    <t>F#2</t>
  </si>
  <si>
    <t>G2</t>
  </si>
  <si>
    <t>G#2</t>
  </si>
  <si>
    <t>A2</t>
  </si>
  <si>
    <t>Bb2</t>
  </si>
  <si>
    <t>B2</t>
  </si>
  <si>
    <t>C3</t>
  </si>
  <si>
    <t>C#3</t>
  </si>
  <si>
    <t>D3</t>
  </si>
  <si>
    <t>D#3</t>
  </si>
  <si>
    <t>E3</t>
  </si>
  <si>
    <t>F3</t>
  </si>
  <si>
    <t>F#3</t>
  </si>
  <si>
    <t>G3</t>
  </si>
  <si>
    <t>G#3</t>
  </si>
  <si>
    <t>A3</t>
  </si>
  <si>
    <t>Bb3</t>
  </si>
  <si>
    <t>B3</t>
  </si>
  <si>
    <t>C4</t>
  </si>
  <si>
    <t>C#4</t>
  </si>
  <si>
    <t>D4</t>
  </si>
  <si>
    <t>D#4</t>
  </si>
  <si>
    <t>E4</t>
  </si>
  <si>
    <t>F4</t>
  </si>
  <si>
    <t>F#4</t>
  </si>
  <si>
    <t>G4</t>
  </si>
  <si>
    <t>G#4</t>
  </si>
  <si>
    <t>A4</t>
  </si>
  <si>
    <t>Bb4</t>
  </si>
  <si>
    <t>B4</t>
  </si>
  <si>
    <t>C5</t>
  </si>
  <si>
    <t>C#5</t>
  </si>
  <si>
    <t>D5</t>
  </si>
  <si>
    <t>D#5</t>
  </si>
  <si>
    <t>E5</t>
  </si>
  <si>
    <t>F5</t>
  </si>
  <si>
    <t>F#5</t>
  </si>
  <si>
    <t>G5</t>
  </si>
  <si>
    <t>G#5</t>
  </si>
  <si>
    <t>A5</t>
  </si>
  <si>
    <t>Bb5</t>
  </si>
  <si>
    <t>B5</t>
  </si>
  <si>
    <t>C6</t>
  </si>
  <si>
    <t>C#6</t>
  </si>
  <si>
    <t>D6</t>
  </si>
  <si>
    <t>D#6</t>
  </si>
  <si>
    <t>E6</t>
  </si>
  <si>
    <t>F6</t>
  </si>
  <si>
    <t>F#6</t>
  </si>
  <si>
    <t>G6</t>
  </si>
  <si>
    <t>G#6</t>
  </si>
  <si>
    <t>A6</t>
  </si>
  <si>
    <t>Bb6</t>
  </si>
  <si>
    <t>B6</t>
  </si>
  <si>
    <t>C7</t>
  </si>
  <si>
    <t>C#7</t>
  </si>
  <si>
    <t>D7</t>
  </si>
  <si>
    <t>D#7</t>
  </si>
  <si>
    <t>E7</t>
  </si>
  <si>
    <t>F7</t>
  </si>
  <si>
    <t>F#7</t>
  </si>
  <si>
    <t>G7</t>
  </si>
  <si>
    <t>G#7</t>
  </si>
  <si>
    <t>A7</t>
  </si>
  <si>
    <t>Bb7</t>
  </si>
  <si>
    <t>B7</t>
  </si>
  <si>
    <t>C8</t>
  </si>
  <si>
    <t>C#8</t>
  </si>
  <si>
    <t>D8</t>
  </si>
  <si>
    <t>D#8</t>
  </si>
  <si>
    <t>E8</t>
  </si>
  <si>
    <t>F8</t>
  </si>
  <si>
    <t>copper</t>
  </si>
  <si>
    <r>
      <rPr>
        <b/>
        <sz val="14"/>
        <color indexed="57"/>
        <rFont val="Calibri"/>
        <family val="2"/>
      </rPr>
      <t xml:space="preserve">Pitch </t>
    </r>
    <r>
      <rPr>
        <sz val="12"/>
        <rFont val="Calibri"/>
        <family val="2"/>
      </rPr>
      <t xml:space="preserve">   A</t>
    </r>
    <r>
      <rPr>
        <sz val="10"/>
        <rFont val="Calibri"/>
        <family val="2"/>
      </rPr>
      <t>4</t>
    </r>
    <r>
      <rPr>
        <sz val="12"/>
        <rFont val="Calibri"/>
        <family val="2"/>
      </rPr>
      <t xml:space="preserve"> =</t>
    </r>
  </si>
  <si>
    <t>Speaking length  (mm)</t>
  </si>
  <si>
    <t>MAKE</t>
  </si>
  <si>
    <t xml:space="preserve"> Model </t>
  </si>
  <si>
    <t xml:space="preserve"> n°</t>
  </si>
  <si>
    <t>Year</t>
  </si>
  <si>
    <t>September 2012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</si>
</sst>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0.0"/>
    <numFmt numFmtId="172" formatCode="0.0000000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[$€-2]\ #,##0.00_);[Red]\([$€-2]\ #,##0.00\)"/>
  </numFmts>
  <fonts count="94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4"/>
      <name val="Garamond"/>
      <family val="1"/>
    </font>
    <font>
      <b/>
      <u val="single"/>
      <sz val="18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0"/>
      <name val="Arial Unicode MS"/>
      <family val="2"/>
    </font>
    <font>
      <sz val="12"/>
      <name val="Times New Roman"/>
      <family val="1"/>
    </font>
    <font>
      <sz val="12"/>
      <name val="Calibri"/>
      <family val="2"/>
    </font>
    <font>
      <b/>
      <sz val="14"/>
      <color indexed="57"/>
      <name val="Calibri"/>
      <family val="2"/>
    </font>
    <font>
      <sz val="20"/>
      <name val="Calibri"/>
      <family val="2"/>
    </font>
    <font>
      <sz val="10"/>
      <name val="Calibri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2"/>
      <color indexed="43"/>
      <name val="Garamond"/>
      <family val="1"/>
    </font>
    <font>
      <b/>
      <sz val="12"/>
      <color indexed="43"/>
      <name val="Garamond"/>
      <family val="1"/>
    </font>
    <font>
      <b/>
      <sz val="12"/>
      <color indexed="60"/>
      <name val="Arial"/>
      <family val="2"/>
    </font>
    <font>
      <b/>
      <sz val="12"/>
      <color indexed="57"/>
      <name val="Arial"/>
      <family val="2"/>
    </font>
    <font>
      <b/>
      <sz val="12"/>
      <color indexed="19"/>
      <name val="Arial"/>
      <family val="2"/>
    </font>
    <font>
      <b/>
      <sz val="14"/>
      <color indexed="43"/>
      <name val="Garamond"/>
      <family val="1"/>
    </font>
    <font>
      <b/>
      <sz val="14"/>
      <color indexed="63"/>
      <name val="Garamond"/>
      <family val="1"/>
    </font>
    <font>
      <b/>
      <sz val="12"/>
      <name val="Calibri"/>
      <family val="2"/>
    </font>
    <font>
      <sz val="12"/>
      <color indexed="63"/>
      <name val="Garamond"/>
      <family val="1"/>
    </font>
    <font>
      <b/>
      <sz val="12"/>
      <color indexed="63"/>
      <name val="Garamond"/>
      <family val="1"/>
    </font>
    <font>
      <b/>
      <sz val="12"/>
      <color indexed="62"/>
      <name val="Arial"/>
      <family val="2"/>
    </font>
    <font>
      <sz val="8"/>
      <color indexed="63"/>
      <name val="Arial"/>
      <family val="2"/>
    </font>
    <font>
      <b/>
      <sz val="14"/>
      <color indexed="63"/>
      <name val="Calibri"/>
      <family val="0"/>
    </font>
    <font>
      <b/>
      <sz val="24"/>
      <color indexed="57"/>
      <name val="Calibri"/>
      <family val="0"/>
    </font>
    <font>
      <sz val="24"/>
      <color indexed="57"/>
      <name val="Calibri"/>
      <family val="0"/>
    </font>
    <font>
      <sz val="13"/>
      <color indexed="63"/>
      <name val="Calibri"/>
      <family val="0"/>
    </font>
    <font>
      <sz val="10.5"/>
      <color indexed="63"/>
      <name val="Calibri"/>
      <family val="0"/>
    </font>
    <font>
      <sz val="14"/>
      <color indexed="63"/>
      <name val="Calibri"/>
      <family val="0"/>
    </font>
    <font>
      <u val="single"/>
      <sz val="18"/>
      <color indexed="63"/>
      <name val="Calibri"/>
      <family val="0"/>
    </font>
    <font>
      <sz val="18"/>
      <color indexed="63"/>
      <name val="Calibri"/>
      <family val="0"/>
    </font>
    <font>
      <sz val="10"/>
      <color indexed="63"/>
      <name val="Calibri"/>
      <family val="0"/>
    </font>
    <font>
      <b/>
      <sz val="13"/>
      <color indexed="63"/>
      <name val="Calibri"/>
      <family val="0"/>
    </font>
    <font>
      <b/>
      <sz val="13"/>
      <color indexed="60"/>
      <name val="Calibri"/>
      <family val="0"/>
    </font>
    <font>
      <sz val="9"/>
      <color indexed="63"/>
      <name val="Calibri"/>
      <family val="0"/>
    </font>
    <font>
      <b/>
      <sz val="14"/>
      <color indexed="60"/>
      <name val="Calibri"/>
      <family val="0"/>
    </font>
    <font>
      <b/>
      <i/>
      <sz val="13"/>
      <color indexed="57"/>
      <name val="Calibri"/>
      <family val="0"/>
    </font>
    <font>
      <b/>
      <i/>
      <sz val="13"/>
      <color indexed="63"/>
      <name val="Calibri"/>
      <family val="0"/>
    </font>
    <font>
      <b/>
      <sz val="12"/>
      <color indexed="57"/>
      <name val="Calibri"/>
      <family val="0"/>
    </font>
    <font>
      <b/>
      <sz val="10.5"/>
      <color indexed="57"/>
      <name val="Calibri"/>
      <family val="0"/>
    </font>
    <font>
      <sz val="10.5"/>
      <color indexed="57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2"/>
      <color theme="2" tint="-0.09996999800205231"/>
      <name val="Garamond"/>
      <family val="1"/>
    </font>
    <font>
      <b/>
      <sz val="12"/>
      <color theme="2" tint="-0.09996999800205231"/>
      <name val="Garamond"/>
      <family val="1"/>
    </font>
    <font>
      <b/>
      <sz val="12"/>
      <color rgb="FFC00000"/>
      <name val="Arial"/>
      <family val="2"/>
    </font>
    <font>
      <b/>
      <sz val="12"/>
      <color theme="8" tint="-0.4999699890613556"/>
      <name val="Arial"/>
      <family val="2"/>
    </font>
    <font>
      <b/>
      <sz val="12"/>
      <color rgb="FF808000"/>
      <name val="Arial"/>
      <family val="2"/>
    </font>
    <font>
      <b/>
      <sz val="14"/>
      <color theme="2" tint="-0.09996999800205231"/>
      <name val="Garamond"/>
      <family val="1"/>
    </font>
    <font>
      <b/>
      <sz val="14"/>
      <color rgb="FF000000"/>
      <name val="Garamond"/>
      <family val="1"/>
    </font>
    <font>
      <sz val="12"/>
      <color rgb="FFDDD9C3"/>
      <name val="Garamond"/>
      <family val="1"/>
    </font>
    <font>
      <b/>
      <sz val="12"/>
      <color rgb="FFDDD9C3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b/>
      <sz val="12"/>
      <color rgb="FF7030A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C3C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AB3B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7A7A9"/>
        <bgColor indexed="64"/>
      </patternFill>
    </fill>
    <fill>
      <patternFill patternType="solid">
        <fgColor rgb="FFD2CCA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>
        <color theme="2" tint="-0.4999699890613556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medium"/>
      <top>
        <color indexed="63"/>
      </top>
      <bottom style="dashed">
        <color theme="2" tint="-0.4999699890613556"/>
      </bottom>
    </border>
    <border>
      <left>
        <color indexed="63"/>
      </left>
      <right style="medium"/>
      <top>
        <color indexed="63"/>
      </top>
      <bottom style="medium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69" fillId="2" borderId="0" applyNumberFormat="0" applyBorder="0" applyAlignment="0" applyProtection="0"/>
    <xf numFmtId="0" fontId="69" fillId="10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2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5" borderId="1" applyNumberFormat="0" applyAlignment="0" applyProtection="0"/>
    <xf numFmtId="0" fontId="72" fillId="0" borderId="2" applyNumberFormat="0" applyFill="0" applyAlignment="0" applyProtection="0"/>
    <xf numFmtId="0" fontId="0" fillId="18" borderId="3" applyNumberFormat="0" applyFont="0" applyAlignment="0" applyProtection="0"/>
    <xf numFmtId="0" fontId="73" fillId="19" borderId="1" applyNumberFormat="0" applyAlignment="0" applyProtection="0"/>
    <xf numFmtId="0" fontId="7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9" fontId="0" fillId="0" borderId="0" applyFont="0" applyFill="0" applyBorder="0" applyAlignment="0" applyProtection="0"/>
    <xf numFmtId="0" fontId="77" fillId="2" borderId="0" applyNumberFormat="0" applyBorder="0" applyAlignment="0" applyProtection="0"/>
    <xf numFmtId="0" fontId="78" fillId="5" borderId="4" applyNumberFormat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80" fillId="22" borderId="9" applyNumberFormat="0" applyAlignment="0" applyProtection="0"/>
  </cellStyleXfs>
  <cellXfs count="129">
    <xf numFmtId="0" fontId="0" fillId="0" borderId="0" xfId="0" applyAlignment="1">
      <alignment/>
    </xf>
    <xf numFmtId="0" fontId="0" fillId="23" borderId="0" xfId="0" applyFont="1" applyFill="1" applyAlignment="1" applyProtection="1">
      <alignment/>
      <protection locked="0"/>
    </xf>
    <xf numFmtId="0" fontId="0" fillId="23" borderId="0" xfId="0" applyFont="1" applyFill="1" applyBorder="1" applyAlignment="1" applyProtection="1">
      <alignment/>
      <protection locked="0"/>
    </xf>
    <xf numFmtId="0" fontId="1" fillId="23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0" fillId="23" borderId="0" xfId="0" applyFont="1" applyFill="1" applyAlignment="1" applyProtection="1">
      <alignment horizontal="right"/>
      <protection hidden="1"/>
    </xf>
    <xf numFmtId="0" fontId="81" fillId="25" borderId="10" xfId="0" applyFont="1" applyFill="1" applyBorder="1" applyAlignment="1" applyProtection="1">
      <alignment horizontal="center"/>
      <protection hidden="1"/>
    </xf>
    <xf numFmtId="0" fontId="82" fillId="25" borderId="10" xfId="0" applyFont="1" applyFill="1" applyBorder="1" applyAlignment="1" applyProtection="1">
      <alignment horizontal="center"/>
      <protection hidden="1"/>
    </xf>
    <xf numFmtId="0" fontId="81" fillId="26" borderId="10" xfId="0" applyFont="1" applyFill="1" applyBorder="1" applyAlignment="1" applyProtection="1">
      <alignment horizontal="center"/>
      <protection hidden="1"/>
    </xf>
    <xf numFmtId="0" fontId="81" fillId="26" borderId="11" xfId="0" applyFont="1" applyFill="1" applyBorder="1" applyAlignment="1" applyProtection="1">
      <alignment horizontal="center"/>
      <protection hidden="1"/>
    </xf>
    <xf numFmtId="0" fontId="9" fillId="23" borderId="0" xfId="0" applyFont="1" applyFill="1" applyAlignment="1" applyProtection="1">
      <alignment horizontal="center"/>
      <protection hidden="1"/>
    </xf>
    <xf numFmtId="0" fontId="83" fillId="23" borderId="0" xfId="0" applyFont="1" applyFill="1" applyAlignment="1" applyProtection="1">
      <alignment horizontal="center"/>
      <protection hidden="1"/>
    </xf>
    <xf numFmtId="0" fontId="84" fillId="23" borderId="0" xfId="0" applyFont="1" applyFill="1" applyAlignment="1" applyProtection="1">
      <alignment horizontal="center"/>
      <protection hidden="1"/>
    </xf>
    <xf numFmtId="0" fontId="85" fillId="23" borderId="0" xfId="0" applyFont="1" applyFill="1" applyBorder="1" applyAlignment="1" applyProtection="1">
      <alignment horizontal="center"/>
      <protection hidden="1"/>
    </xf>
    <xf numFmtId="0" fontId="81" fillId="26" borderId="12" xfId="0" applyFont="1" applyFill="1" applyBorder="1" applyAlignment="1" applyProtection="1">
      <alignment horizontal="center"/>
      <protection hidden="1"/>
    </xf>
    <xf numFmtId="0" fontId="81" fillId="26" borderId="13" xfId="0" applyFont="1" applyFill="1" applyBorder="1" applyAlignment="1" applyProtection="1">
      <alignment horizontal="center"/>
      <protection hidden="1"/>
    </xf>
    <xf numFmtId="0" fontId="86" fillId="25" borderId="14" xfId="0" applyFont="1" applyFill="1" applyBorder="1" applyAlignment="1" applyProtection="1">
      <alignment horizontal="center" vertical="center"/>
      <protection hidden="1"/>
    </xf>
    <xf numFmtId="0" fontId="86" fillId="25" borderId="15" xfId="0" applyFont="1" applyFill="1" applyBorder="1" applyAlignment="1" applyProtection="1">
      <alignment horizontal="center" vertical="center"/>
      <protection hidden="1"/>
    </xf>
    <xf numFmtId="2" fontId="14" fillId="27" borderId="10" xfId="0" applyNumberFormat="1" applyFont="1" applyFill="1" applyBorder="1" applyAlignment="1" applyProtection="1">
      <alignment horizontal="center"/>
      <protection hidden="1"/>
    </xf>
    <xf numFmtId="0" fontId="7" fillId="23" borderId="0" xfId="0" applyFont="1" applyFill="1" applyBorder="1" applyAlignment="1" applyProtection="1">
      <alignment horizontal="center"/>
      <protection/>
    </xf>
    <xf numFmtId="0" fontId="0" fillId="23" borderId="0" xfId="0" applyFont="1" applyFill="1" applyAlignment="1" applyProtection="1">
      <alignment/>
      <protection/>
    </xf>
    <xf numFmtId="0" fontId="6" fillId="23" borderId="0" xfId="0" applyFont="1" applyFill="1" applyAlignment="1" applyProtection="1">
      <alignment/>
      <protection/>
    </xf>
    <xf numFmtId="0" fontId="7" fillId="23" borderId="0" xfId="0" applyFont="1" applyFill="1" applyAlignment="1" applyProtection="1">
      <alignment horizontal="center"/>
      <protection/>
    </xf>
    <xf numFmtId="0" fontId="17" fillId="23" borderId="0" xfId="0" applyFont="1" applyFill="1" applyAlignment="1" applyProtection="1">
      <alignment horizontal="right"/>
      <protection hidden="1"/>
    </xf>
    <xf numFmtId="0" fontId="87" fillId="28" borderId="14" xfId="0" applyFont="1" applyFill="1" applyBorder="1" applyAlignment="1" applyProtection="1">
      <alignment horizontal="center" vertical="center" wrapText="1"/>
      <protection hidden="1"/>
    </xf>
    <xf numFmtId="0" fontId="14" fillId="27" borderId="14" xfId="0" applyFont="1" applyFill="1" applyBorder="1" applyAlignment="1" applyProtection="1">
      <alignment horizontal="center" wrapText="1"/>
      <protection hidden="1"/>
    </xf>
    <xf numFmtId="0" fontId="14" fillId="28" borderId="14" xfId="0" applyFont="1" applyFill="1" applyBorder="1" applyAlignment="1" applyProtection="1">
      <alignment horizontal="center" vertical="center" wrapText="1"/>
      <protection hidden="1"/>
    </xf>
    <xf numFmtId="0" fontId="11" fillId="28" borderId="16" xfId="0" applyFont="1" applyFill="1" applyBorder="1" applyAlignment="1" applyProtection="1">
      <alignment horizontal="center" vertical="center" wrapText="1"/>
      <protection hidden="1"/>
    </xf>
    <xf numFmtId="0" fontId="14" fillId="27" borderId="17" xfId="0" applyFont="1" applyFill="1" applyBorder="1" applyAlignment="1" applyProtection="1">
      <alignment horizontal="center" vertical="center" wrapText="1"/>
      <protection hidden="1"/>
    </xf>
    <xf numFmtId="0" fontId="14" fillId="27" borderId="14" xfId="0" applyFont="1" applyFill="1" applyBorder="1" applyAlignment="1" applyProtection="1">
      <alignment horizontal="center" vertical="center" wrapText="1"/>
      <protection hidden="1"/>
    </xf>
    <xf numFmtId="0" fontId="81" fillId="26" borderId="0" xfId="0" applyFont="1" applyFill="1" applyBorder="1" applyAlignment="1" applyProtection="1">
      <alignment horizontal="center"/>
      <protection hidden="1"/>
    </xf>
    <xf numFmtId="0" fontId="81" fillId="29" borderId="0" xfId="0" applyFont="1" applyFill="1" applyBorder="1" applyAlignment="1" applyProtection="1">
      <alignment horizontal="center"/>
      <protection hidden="1"/>
    </xf>
    <xf numFmtId="0" fontId="88" fillId="29" borderId="0" xfId="0" applyFont="1" applyFill="1" applyBorder="1" applyAlignment="1" applyProtection="1">
      <alignment horizontal="center"/>
      <protection hidden="1"/>
    </xf>
    <xf numFmtId="0" fontId="88" fillId="29" borderId="18" xfId="0" applyFont="1" applyFill="1" applyBorder="1" applyAlignment="1" applyProtection="1">
      <alignment horizontal="center"/>
      <protection hidden="1"/>
    </xf>
    <xf numFmtId="0" fontId="89" fillId="29" borderId="18" xfId="0" applyFont="1" applyFill="1" applyBorder="1" applyAlignment="1" applyProtection="1">
      <alignment horizontal="center"/>
      <protection hidden="1"/>
    </xf>
    <xf numFmtId="0" fontId="88" fillId="29" borderId="10" xfId="0" applyFont="1" applyFill="1" applyBorder="1" applyAlignment="1" applyProtection="1">
      <alignment horizontal="center"/>
      <protection hidden="1"/>
    </xf>
    <xf numFmtId="0" fontId="21" fillId="24" borderId="10" xfId="0" applyFont="1" applyFill="1" applyBorder="1" applyAlignment="1" applyProtection="1">
      <alignment horizontal="center"/>
      <protection locked="0"/>
    </xf>
    <xf numFmtId="0" fontId="46" fillId="24" borderId="10" xfId="0" applyFont="1" applyFill="1" applyBorder="1" applyAlignment="1" applyProtection="1">
      <alignment horizontal="center"/>
      <protection locked="0"/>
    </xf>
    <xf numFmtId="167" fontId="21" fillId="30" borderId="10" xfId="0" applyNumberFormat="1" applyFont="1" applyFill="1" applyBorder="1" applyAlignment="1" applyProtection="1">
      <alignment horizontal="center"/>
      <protection locked="0"/>
    </xf>
    <xf numFmtId="0" fontId="90" fillId="24" borderId="19" xfId="53" applyFont="1" applyFill="1" applyBorder="1" applyAlignment="1" applyProtection="1">
      <alignment horizontal="center"/>
      <protection locked="0"/>
    </xf>
    <xf numFmtId="0" fontId="21" fillId="24" borderId="10" xfId="53" applyFont="1" applyFill="1" applyBorder="1" applyAlignment="1" applyProtection="1">
      <alignment horizontal="center"/>
      <protection locked="0"/>
    </xf>
    <xf numFmtId="1" fontId="21" fillId="24" borderId="10" xfId="57" applyNumberFormat="1" applyFont="1" applyFill="1" applyBorder="1" applyAlignment="1" applyProtection="1">
      <alignment horizontal="center"/>
      <protection locked="0"/>
    </xf>
    <xf numFmtId="0" fontId="90" fillId="24" borderId="10" xfId="53" applyFont="1" applyFill="1" applyBorder="1" applyAlignment="1" applyProtection="1">
      <alignment horizontal="center"/>
      <protection locked="0"/>
    </xf>
    <xf numFmtId="167" fontId="21" fillId="30" borderId="20" xfId="0" applyNumberFormat="1" applyFont="1" applyFill="1" applyBorder="1" applyAlignment="1" applyProtection="1">
      <alignment horizontal="center"/>
      <protection locked="0"/>
    </xf>
    <xf numFmtId="0" fontId="21" fillId="24" borderId="21" xfId="53" applyFont="1" applyFill="1" applyBorder="1" applyAlignment="1" applyProtection="1">
      <alignment horizontal="center"/>
      <protection locked="0"/>
    </xf>
    <xf numFmtId="167" fontId="21" fillId="30" borderId="22" xfId="0" applyNumberFormat="1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2" fillId="24" borderId="10" xfId="57" applyFont="1" applyFill="1" applyBorder="1" applyAlignment="1" applyProtection="1">
      <alignment horizontal="center"/>
      <protection locked="0"/>
    </xf>
    <xf numFmtId="0" fontId="21" fillId="24" borderId="10" xfId="57" applyFont="1" applyFill="1" applyBorder="1" applyAlignment="1" applyProtection="1">
      <alignment horizontal="center"/>
      <protection locked="0"/>
    </xf>
    <xf numFmtId="0" fontId="90" fillId="24" borderId="10" xfId="57" applyFont="1" applyFill="1" applyBorder="1" applyAlignment="1" applyProtection="1">
      <alignment horizontal="center"/>
      <protection locked="0"/>
    </xf>
    <xf numFmtId="0" fontId="91" fillId="24" borderId="10" xfId="57" applyFont="1" applyFill="1" applyBorder="1" applyAlignment="1" applyProtection="1">
      <alignment horizontal="center"/>
      <protection locked="0"/>
    </xf>
    <xf numFmtId="0" fontId="19" fillId="31" borderId="23" xfId="0" applyFont="1" applyFill="1" applyBorder="1" applyAlignment="1" applyProtection="1">
      <alignment vertical="center"/>
      <protection locked="0"/>
    </xf>
    <xf numFmtId="0" fontId="90" fillId="32" borderId="10" xfId="0" applyFont="1" applyFill="1" applyBorder="1" applyAlignment="1" applyProtection="1">
      <alignment horizontal="center"/>
      <protection locked="0"/>
    </xf>
    <xf numFmtId="2" fontId="14" fillId="33" borderId="10" xfId="0" applyNumberFormat="1" applyFont="1" applyFill="1" applyBorder="1" applyAlignment="1" applyProtection="1">
      <alignment horizontal="center"/>
      <protection hidden="1"/>
    </xf>
    <xf numFmtId="0" fontId="19" fillId="31" borderId="24" xfId="0" applyFont="1" applyFill="1" applyBorder="1" applyAlignment="1" applyProtection="1">
      <alignment horizontal="left" vertical="center"/>
      <protection locked="0"/>
    </xf>
    <xf numFmtId="0" fontId="19" fillId="31" borderId="23" xfId="0" applyFont="1" applyFill="1" applyBorder="1" applyAlignment="1" applyProtection="1">
      <alignment horizontal="left" vertical="center"/>
      <protection locked="0"/>
    </xf>
    <xf numFmtId="2" fontId="21" fillId="24" borderId="19" xfId="0" applyNumberFormat="1" applyFont="1" applyFill="1" applyBorder="1" applyAlignment="1" applyProtection="1">
      <alignment horizontal="center"/>
      <protection locked="0"/>
    </xf>
    <xf numFmtId="1" fontId="21" fillId="24" borderId="10" xfId="0" applyNumberFormat="1" applyFont="1" applyFill="1" applyBorder="1" applyAlignment="1" applyProtection="1">
      <alignment horizontal="center"/>
      <protection locked="0"/>
    </xf>
    <xf numFmtId="2" fontId="21" fillId="30" borderId="12" xfId="0" applyNumberFormat="1" applyFont="1" applyFill="1" applyBorder="1" applyAlignment="1" applyProtection="1">
      <alignment horizontal="center"/>
      <protection locked="0"/>
    </xf>
    <xf numFmtId="2" fontId="21" fillId="30" borderId="25" xfId="0" applyNumberFormat="1" applyFont="1" applyFill="1" applyBorder="1" applyAlignment="1" applyProtection="1">
      <alignment horizontal="center"/>
      <protection locked="0"/>
    </xf>
    <xf numFmtId="2" fontId="21" fillId="30" borderId="26" xfId="0" applyNumberFormat="1" applyFont="1" applyFill="1" applyBorder="1" applyAlignment="1" applyProtection="1">
      <alignment horizontal="center"/>
      <protection locked="0"/>
    </xf>
    <xf numFmtId="2" fontId="21" fillId="24" borderId="10" xfId="0" applyNumberFormat="1" applyFont="1" applyFill="1" applyBorder="1" applyAlignment="1" applyProtection="1">
      <alignment horizontal="center"/>
      <protection locked="0"/>
    </xf>
    <xf numFmtId="0" fontId="90" fillId="24" borderId="10" xfId="59" applyFont="1" applyFill="1" applyBorder="1" applyAlignment="1" applyProtection="1">
      <alignment horizontal="center"/>
      <protection locked="0"/>
    </xf>
    <xf numFmtId="0" fontId="21" fillId="24" borderId="10" xfId="59" applyFont="1" applyFill="1" applyBorder="1" applyAlignment="1" applyProtection="1">
      <alignment horizontal="center"/>
      <protection locked="0"/>
    </xf>
    <xf numFmtId="0" fontId="0" fillId="23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8" fillId="23" borderId="0" xfId="0" applyFont="1" applyFill="1" applyAlignment="1" applyProtection="1">
      <alignment horizontal="center"/>
      <protection hidden="1"/>
    </xf>
    <xf numFmtId="0" fontId="1" fillId="23" borderId="0" xfId="0" applyFont="1" applyFill="1" applyAlignment="1" applyProtection="1">
      <alignment horizontal="center"/>
      <protection hidden="1"/>
    </xf>
    <xf numFmtId="0" fontId="6" fillId="23" borderId="0" xfId="0" applyFont="1" applyFill="1" applyAlignment="1" applyProtection="1">
      <alignment/>
      <protection hidden="1"/>
    </xf>
    <xf numFmtId="0" fontId="0" fillId="23" borderId="0" xfId="0" applyFont="1" applyFill="1" applyBorder="1" applyAlignment="1" applyProtection="1">
      <alignment/>
      <protection hidden="1"/>
    </xf>
    <xf numFmtId="0" fontId="19" fillId="31" borderId="27" xfId="0" applyFont="1" applyFill="1" applyBorder="1" applyAlignment="1" applyProtection="1">
      <alignment horizontal="center" vertical="center"/>
      <protection hidden="1"/>
    </xf>
    <xf numFmtId="0" fontId="0" fillId="23" borderId="0" xfId="0" applyFont="1" applyFill="1" applyBorder="1" applyAlignment="1" applyProtection="1">
      <alignment horizontal="center"/>
      <protection hidden="1"/>
    </xf>
    <xf numFmtId="0" fontId="1" fillId="23" borderId="0" xfId="0" applyFont="1" applyFill="1" applyBorder="1" applyAlignment="1" applyProtection="1">
      <alignment horizontal="center"/>
      <protection hidden="1"/>
    </xf>
    <xf numFmtId="0" fontId="19" fillId="31" borderId="27" xfId="0" applyFont="1" applyFill="1" applyBorder="1" applyAlignment="1" applyProtection="1">
      <alignment vertical="center"/>
      <protection hidden="1"/>
    </xf>
    <xf numFmtId="8" fontId="92" fillId="23" borderId="0" xfId="0" applyNumberFormat="1" applyFont="1" applyFill="1" applyAlignment="1" applyProtection="1">
      <alignment horizontal="center"/>
      <protection hidden="1"/>
    </xf>
    <xf numFmtId="0" fontId="19" fillId="31" borderId="27" xfId="0" applyFont="1" applyFill="1" applyBorder="1" applyAlignment="1" applyProtection="1">
      <alignment horizontal="right" vertical="center"/>
      <protection hidden="1"/>
    </xf>
    <xf numFmtId="1" fontId="0" fillId="23" borderId="0" xfId="0" applyNumberFormat="1" applyFont="1" applyFill="1" applyAlignment="1" applyProtection="1">
      <alignment/>
      <protection hidden="1"/>
    </xf>
    <xf numFmtId="0" fontId="0" fillId="23" borderId="0" xfId="0" applyFont="1" applyFill="1" applyAlignment="1" applyProtection="1">
      <alignment horizontal="center"/>
      <protection hidden="1"/>
    </xf>
    <xf numFmtId="0" fontId="6" fillId="23" borderId="0" xfId="0" applyFont="1" applyFill="1" applyAlignment="1" applyProtection="1">
      <alignment horizontal="center"/>
      <protection hidden="1"/>
    </xf>
    <xf numFmtId="0" fontId="10" fillId="23" borderId="0" xfId="0" applyFont="1" applyFill="1" applyAlignment="1" applyProtection="1">
      <alignment horizontal="left"/>
      <protection hidden="1"/>
    </xf>
    <xf numFmtId="0" fontId="12" fillId="23" borderId="0" xfId="0" applyFont="1" applyFill="1" applyAlignment="1" applyProtection="1">
      <alignment horizontal="left"/>
      <protection hidden="1"/>
    </xf>
    <xf numFmtId="0" fontId="13" fillId="23" borderId="0" xfId="0" applyFont="1" applyFill="1" applyBorder="1" applyAlignment="1" applyProtection="1">
      <alignment horizontal="center"/>
      <protection hidden="1"/>
    </xf>
    <xf numFmtId="0" fontId="11" fillId="23" borderId="0" xfId="0" applyFont="1" applyFill="1" applyBorder="1" applyAlignment="1" applyProtection="1">
      <alignment horizontal="center"/>
      <protection hidden="1"/>
    </xf>
    <xf numFmtId="0" fontId="0" fillId="23" borderId="28" xfId="0" applyFont="1" applyFill="1" applyBorder="1" applyAlignment="1" applyProtection="1">
      <alignment/>
      <protection hidden="1"/>
    </xf>
    <xf numFmtId="0" fontId="1" fillId="23" borderId="29" xfId="0" applyFont="1" applyFill="1" applyBorder="1" applyAlignment="1" applyProtection="1">
      <alignment horizontal="left"/>
      <protection hidden="1"/>
    </xf>
    <xf numFmtId="0" fontId="0" fillId="23" borderId="30" xfId="0" applyFont="1" applyFill="1" applyBorder="1" applyAlignment="1" applyProtection="1">
      <alignment/>
      <protection hidden="1"/>
    </xf>
    <xf numFmtId="0" fontId="1" fillId="23" borderId="28" xfId="0" applyFont="1" applyFill="1" applyBorder="1" applyAlignment="1" applyProtection="1">
      <alignment horizontal="center"/>
      <protection hidden="1"/>
    </xf>
    <xf numFmtId="0" fontId="1" fillId="23" borderId="30" xfId="0" applyFont="1" applyFill="1" applyBorder="1" applyAlignment="1" applyProtection="1">
      <alignment horizontal="center"/>
      <protection hidden="1"/>
    </xf>
    <xf numFmtId="0" fontId="1" fillId="23" borderId="30" xfId="0" applyFont="1" applyFill="1" applyBorder="1" applyAlignment="1" applyProtection="1">
      <alignment horizontal="left"/>
      <protection hidden="1"/>
    </xf>
    <xf numFmtId="0" fontId="1" fillId="23" borderId="31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1" fillId="23" borderId="0" xfId="0" applyFont="1" applyFill="1" applyAlignment="1" applyProtection="1">
      <alignment/>
      <protection hidden="1"/>
    </xf>
    <xf numFmtId="0" fontId="1" fillId="23" borderId="32" xfId="0" applyFont="1" applyFill="1" applyBorder="1" applyAlignment="1" applyProtection="1">
      <alignment horizontal="center"/>
      <protection hidden="1"/>
    </xf>
    <xf numFmtId="0" fontId="1" fillId="23" borderId="33" xfId="0" applyFont="1" applyFill="1" applyBorder="1" applyAlignment="1" applyProtection="1">
      <alignment horizontal="center"/>
      <protection hidden="1"/>
    </xf>
    <xf numFmtId="0" fontId="1" fillId="23" borderId="34" xfId="0" applyFont="1" applyFill="1" applyBorder="1" applyAlignment="1" applyProtection="1">
      <alignment horizontal="center"/>
      <protection hidden="1"/>
    </xf>
    <xf numFmtId="0" fontId="1" fillId="23" borderId="29" xfId="0" applyFont="1" applyFill="1" applyBorder="1" applyAlignment="1" applyProtection="1">
      <alignment horizontal="center"/>
      <protection hidden="1"/>
    </xf>
    <xf numFmtId="0" fontId="1" fillId="23" borderId="35" xfId="0" applyFont="1" applyFill="1" applyBorder="1" applyAlignment="1" applyProtection="1">
      <alignment horizontal="center"/>
      <protection hidden="1"/>
    </xf>
    <xf numFmtId="0" fontId="1" fillId="23" borderId="21" xfId="0" applyFont="1" applyFill="1" applyBorder="1" applyAlignment="1" applyProtection="1">
      <alignment horizontal="center"/>
      <protection hidden="1"/>
    </xf>
    <xf numFmtId="0" fontId="1" fillId="23" borderId="36" xfId="0" applyFont="1" applyFill="1" applyBorder="1" applyAlignment="1" applyProtection="1">
      <alignment horizontal="center"/>
      <protection hidden="1"/>
    </xf>
    <xf numFmtId="1" fontId="93" fillId="0" borderId="0" xfId="61" applyNumberFormat="1" applyFont="1" applyAlignment="1" applyProtection="1">
      <alignment horizontal="center"/>
      <protection hidden="1"/>
    </xf>
    <xf numFmtId="2" fontId="1" fillId="23" borderId="18" xfId="0" applyNumberFormat="1" applyFont="1" applyFill="1" applyBorder="1" applyAlignment="1" applyProtection="1">
      <alignment horizontal="center"/>
      <protection hidden="1"/>
    </xf>
    <xf numFmtId="2" fontId="1" fillId="23" borderId="37" xfId="0" applyNumberFormat="1" applyFont="1" applyFill="1" applyBorder="1" applyAlignment="1" applyProtection="1">
      <alignment horizontal="center"/>
      <protection hidden="1"/>
    </xf>
    <xf numFmtId="0" fontId="1" fillId="23" borderId="38" xfId="0" applyFont="1" applyFill="1" applyBorder="1" applyAlignment="1" applyProtection="1">
      <alignment horizontal="center"/>
      <protection hidden="1"/>
    </xf>
    <xf numFmtId="0" fontId="11" fillId="23" borderId="0" xfId="0" applyFont="1" applyFill="1" applyAlignment="1" applyProtection="1">
      <alignment horizontal="left"/>
      <protection hidden="1"/>
    </xf>
    <xf numFmtId="0" fontId="11" fillId="23" borderId="0" xfId="0" applyFont="1" applyFill="1" applyBorder="1" applyAlignment="1" applyProtection="1">
      <alignment horizontal="left"/>
      <protection hidden="1"/>
    </xf>
    <xf numFmtId="0" fontId="6" fillId="23" borderId="0" xfId="0" applyFont="1" applyFill="1" applyBorder="1" applyAlignment="1" applyProtection="1">
      <alignment horizontal="center"/>
      <protection hidden="1"/>
    </xf>
    <xf numFmtId="0" fontId="6" fillId="23" borderId="0" xfId="0" applyFont="1" applyFill="1" applyAlignment="1" applyProtection="1">
      <alignment horizontal="left"/>
      <protection hidden="1"/>
    </xf>
    <xf numFmtId="0" fontId="1" fillId="23" borderId="39" xfId="0" applyFont="1" applyFill="1" applyBorder="1" applyAlignment="1" applyProtection="1">
      <alignment horizontal="center"/>
      <protection hidden="1"/>
    </xf>
    <xf numFmtId="0" fontId="0" fillId="23" borderId="0" xfId="0" applyFont="1" applyFill="1" applyAlignment="1" applyProtection="1">
      <alignment horizontal="left"/>
      <protection hidden="1"/>
    </xf>
    <xf numFmtId="0" fontId="0" fillId="23" borderId="0" xfId="0" applyFont="1" applyFill="1" applyBorder="1" applyAlignment="1" applyProtection="1">
      <alignment horizontal="left"/>
      <protection hidden="1"/>
    </xf>
    <xf numFmtId="0" fontId="8" fillId="23" borderId="0" xfId="0" applyFont="1" applyFill="1" applyBorder="1" applyAlignment="1" applyProtection="1">
      <alignment horizontal="center"/>
      <protection hidden="1"/>
    </xf>
    <xf numFmtId="2" fontId="1" fillId="23" borderId="39" xfId="0" applyNumberFormat="1" applyFont="1" applyFill="1" applyBorder="1" applyAlignment="1" applyProtection="1">
      <alignment horizontal="center"/>
      <protection hidden="1"/>
    </xf>
    <xf numFmtId="2" fontId="15" fillId="23" borderId="0" xfId="0" applyNumberFormat="1" applyFont="1" applyFill="1" applyAlignment="1" applyProtection="1">
      <alignment/>
      <protection hidden="1"/>
    </xf>
    <xf numFmtId="0" fontId="1" fillId="23" borderId="40" xfId="0" applyFont="1" applyFill="1" applyBorder="1" applyAlignment="1" applyProtection="1">
      <alignment horizontal="center"/>
      <protection hidden="1"/>
    </xf>
    <xf numFmtId="2" fontId="1" fillId="23" borderId="41" xfId="0" applyNumberFormat="1" applyFont="1" applyFill="1" applyBorder="1" applyAlignment="1" applyProtection="1">
      <alignment horizontal="center"/>
      <protection hidden="1"/>
    </xf>
    <xf numFmtId="1" fontId="1" fillId="23" borderId="0" xfId="57" applyNumberFormat="1" applyFont="1" applyFill="1" applyBorder="1" applyAlignment="1" applyProtection="1">
      <alignment horizontal="center"/>
      <protection hidden="1"/>
    </xf>
    <xf numFmtId="1" fontId="0" fillId="23" borderId="0" xfId="0" applyNumberFormat="1" applyFont="1" applyFill="1" applyBorder="1" applyAlignment="1" applyProtection="1">
      <alignment/>
      <protection hidden="1"/>
    </xf>
    <xf numFmtId="2" fontId="1" fillId="23" borderId="0" xfId="0" applyNumberFormat="1" applyFont="1" applyFill="1" applyBorder="1" applyAlignment="1" applyProtection="1">
      <alignment horizontal="center"/>
      <protection hidden="1"/>
    </xf>
    <xf numFmtId="2" fontId="1" fillId="23" borderId="12" xfId="0" applyNumberFormat="1" applyFont="1" applyFill="1" applyBorder="1" applyAlignment="1" applyProtection="1">
      <alignment horizontal="center"/>
      <protection hidden="1"/>
    </xf>
    <xf numFmtId="1" fontId="1" fillId="23" borderId="0" xfId="0" applyNumberFormat="1" applyFont="1" applyFill="1" applyBorder="1" applyAlignment="1" applyProtection="1">
      <alignment horizontal="center"/>
      <protection hidden="1"/>
    </xf>
    <xf numFmtId="2" fontId="0" fillId="23" borderId="0" xfId="0" applyNumberFormat="1" applyFont="1" applyFill="1" applyAlignment="1" applyProtection="1">
      <alignment/>
      <protection hidden="1"/>
    </xf>
    <xf numFmtId="2" fontId="1" fillId="23" borderId="42" xfId="0" applyNumberFormat="1" applyFont="1" applyFill="1" applyBorder="1" applyAlignment="1" applyProtection="1">
      <alignment horizontal="center"/>
      <protection hidden="1"/>
    </xf>
    <xf numFmtId="0" fontId="1" fillId="23" borderId="43" xfId="0" applyFont="1" applyFill="1" applyBorder="1" applyAlignment="1" applyProtection="1">
      <alignment horizontal="center"/>
      <protection hidden="1"/>
    </xf>
    <xf numFmtId="0" fontId="1" fillId="23" borderId="0" xfId="0" applyNumberFormat="1" applyFont="1" applyFill="1" applyBorder="1" applyAlignment="1" applyProtection="1">
      <alignment horizontal="center"/>
      <protection hidden="1"/>
    </xf>
    <xf numFmtId="0" fontId="16" fillId="23" borderId="0" xfId="0" applyFont="1" applyFill="1" applyAlignment="1" applyProtection="1">
      <alignment/>
      <protection hidden="1"/>
    </xf>
    <xf numFmtId="0" fontId="7" fillId="23" borderId="0" xfId="0" applyFont="1" applyFill="1" applyAlignment="1" applyProtection="1">
      <alignment horizontal="center"/>
      <protection hidden="1"/>
    </xf>
    <xf numFmtId="0" fontId="16" fillId="23" borderId="0" xfId="0" applyFont="1" applyFill="1" applyBorder="1" applyAlignment="1" applyProtection="1">
      <alignment/>
      <protection hidden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2 2" xfId="54"/>
    <cellStyle name="Normal 2 3" xfId="55"/>
    <cellStyle name="Normal 2 3 2" xfId="56"/>
    <cellStyle name="Normal 3" xfId="57"/>
    <cellStyle name="Normal 3 2" xfId="58"/>
    <cellStyle name="Normal 3 3" xfId="59"/>
    <cellStyle name="Normal 4" xfId="60"/>
    <cellStyle name="Normal 5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F3F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9</xdr:row>
      <xdr:rowOff>114300</xdr:rowOff>
    </xdr:from>
    <xdr:to>
      <xdr:col>9</xdr:col>
      <xdr:colOff>76200</xdr:colOff>
      <xdr:row>11</xdr:row>
      <xdr:rowOff>76200</xdr:rowOff>
    </xdr:to>
    <xdr:sp>
      <xdr:nvSpPr>
        <xdr:cNvPr id="1" name="Rectangle à coins arrondis 6"/>
        <xdr:cNvSpPr>
          <a:spLocks/>
        </xdr:cNvSpPr>
      </xdr:nvSpPr>
      <xdr:spPr>
        <a:xfrm>
          <a:off x="2381250" y="1895475"/>
          <a:ext cx="2276475" cy="400050"/>
        </a:xfrm>
        <a:prstGeom prst="roundRect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11</xdr:row>
      <xdr:rowOff>47625</xdr:rowOff>
    </xdr:to>
    <xdr:pic>
      <xdr:nvPicPr>
        <xdr:cNvPr id="2" name="Image 5" descr="logo_corde Bleu Paulel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466725</xdr:colOff>
      <xdr:row>22</xdr:row>
      <xdr:rowOff>209550</xdr:rowOff>
    </xdr:from>
    <xdr:to>
      <xdr:col>36</xdr:col>
      <xdr:colOff>85725</xdr:colOff>
      <xdr:row>66</xdr:row>
      <xdr:rowOff>66675</xdr:rowOff>
    </xdr:to>
    <xdr:sp>
      <xdr:nvSpPr>
        <xdr:cNvPr id="3" name="Rectangle à coins arrondis 3"/>
        <xdr:cNvSpPr>
          <a:spLocks/>
        </xdr:cNvSpPr>
      </xdr:nvSpPr>
      <xdr:spPr>
        <a:xfrm>
          <a:off x="7877175" y="5476875"/>
          <a:ext cx="7334250" cy="10344150"/>
        </a:xfrm>
        <a:prstGeom prst="roundRect">
          <a:avLst/>
        </a:prstGeom>
        <a:solidFill>
          <a:srgbClr val="FFFFFF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
</a:t>
          </a:r>
          <a:r>
            <a:rPr lang="en-US" cap="none" sz="2400" b="1" i="0" u="none" baseline="0">
              <a:solidFill>
                <a:srgbClr val="339966"/>
              </a:solidFill>
            </a:rPr>
            <a:t>Instructions for use</a:t>
          </a:r>
          <a:r>
            <a:rPr lang="en-US" cap="none" sz="2400" b="0" i="0" u="none" baseline="0">
              <a:solidFill>
                <a:srgbClr val="339966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This sheet is intended for keyboards of up to </a:t>
          </a:r>
          <a:r>
            <a:rPr lang="en-US" cap="none" sz="1300" b="0" i="0" u="none" baseline="0">
              <a:solidFill>
                <a:srgbClr val="333333"/>
              </a:solidFill>
            </a:rPr>
            <a:t>102 keys</a:t>
          </a:r>
          <a:r>
            <a:rPr lang="en-US" cap="none" sz="1300" b="0" i="0" u="none" baseline="0">
              <a:solidFill>
                <a:srgbClr val="333333"/>
              </a:solidFill>
            </a:rPr>
            <a:t> from C</a:t>
          </a:r>
          <a:r>
            <a:rPr lang="en-US" cap="none" sz="1050" b="0" i="0" u="none" baseline="0">
              <a:solidFill>
                <a:srgbClr val="333333"/>
              </a:solidFill>
            </a:rPr>
            <a:t>0</a:t>
          </a:r>
          <a:r>
            <a:rPr lang="en-US" cap="none" sz="1300" b="0" i="0" u="none" baseline="0">
              <a:solidFill>
                <a:srgbClr val="333333"/>
              </a:solidFill>
            </a:rPr>
            <a:t> to F</a:t>
          </a:r>
          <a:r>
            <a:rPr lang="en-US" cap="none" sz="1050" b="0" i="0" u="none" baseline="0">
              <a:solidFill>
                <a:srgbClr val="333333"/>
              </a:solidFill>
            </a:rPr>
            <a:t>8</a:t>
          </a:r>
          <a:r>
            <a:rPr lang="en-US" cap="none" sz="1300" b="0" i="0" u="none" baseline="0">
              <a:solidFill>
                <a:srgbClr val="333333"/>
              </a:solidFill>
            </a:rPr>
            <a:t>. If the keyboard has only got 88 notes, fill in the columms from A</a:t>
          </a:r>
          <a:r>
            <a:rPr lang="en-US" cap="none" sz="1050" b="0" i="0" u="none" baseline="0">
              <a:solidFill>
                <a:srgbClr val="333333"/>
              </a:solidFill>
            </a:rPr>
            <a:t>0</a:t>
          </a:r>
          <a:r>
            <a:rPr lang="en-US" cap="none" sz="1300" b="0" i="0" u="none" baseline="0">
              <a:solidFill>
                <a:srgbClr val="333333"/>
              </a:solidFill>
            </a:rPr>
            <a:t> onwards.
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Wound Strings:</a:t>
          </a:r>
          <a:r>
            <a:rPr lang="en-US" cap="none" sz="1800" b="0" i="0" u="none" baseline="0">
              <a:solidFill>
                <a:srgbClr val="333333"/>
              </a:solidFill>
            </a:rPr>
            <a:t> </a:t>
          </a:r>
          <a:r>
            <a:rPr lang="en-US" cap="none" sz="18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Choose a pitch A</a:t>
          </a:r>
          <a:r>
            <a:rPr lang="en-US" cap="none" sz="1000" b="0" i="0" u="none" baseline="0">
              <a:solidFill>
                <a:srgbClr val="333333"/>
              </a:solidFill>
            </a:rPr>
            <a:t>4</a:t>
          </a:r>
          <a:r>
            <a:rPr lang="en-US" cap="none" sz="1300" b="0" i="0" u="none" baseline="0">
              <a:solidFill>
                <a:srgbClr val="333333"/>
              </a:solidFill>
            </a:rPr>
            <a:t> = 440 Hz or other...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Fill</a:t>
          </a:r>
          <a:r>
            <a:rPr lang="en-US" cap="none" sz="1300" b="0" i="0" u="none" baseline="0">
              <a:solidFill>
                <a:srgbClr val="333333"/>
              </a:solidFill>
            </a:rPr>
            <a:t> in </a:t>
          </a:r>
          <a:r>
            <a:rPr lang="en-US" cap="none" sz="1300" b="0" i="0" u="none" baseline="0">
              <a:solidFill>
                <a:srgbClr val="333333"/>
              </a:solidFill>
            </a:rPr>
            <a:t>the blue columns : diameter of core wire in mm, </a:t>
          </a:r>
          <a:r>
            <a:rPr lang="en-US" cap="none" sz="1300" b="0" i="0" u="none" baseline="0">
              <a:solidFill>
                <a:srgbClr val="333333"/>
              </a:solidFill>
            </a:rPr>
            <a:t>total </a:t>
          </a:r>
          <a:r>
            <a:rPr lang="en-US" cap="none" sz="1300" b="0" i="0" u="none" baseline="0">
              <a:solidFill>
                <a:srgbClr val="333333"/>
              </a:solidFill>
            </a:rPr>
            <a:t>diameter in mm, length in mm, number of strings by unisson, winding type (write: "</a:t>
          </a:r>
          <a:r>
            <a:rPr lang="en-US" cap="none" sz="1300" b="1" i="0" u="none" baseline="0">
              <a:solidFill>
                <a:srgbClr val="333333"/>
              </a:solidFill>
            </a:rPr>
            <a:t>iron</a:t>
          </a:r>
          <a:r>
            <a:rPr lang="en-US" cap="none" sz="1300" b="0" i="0" u="none" baseline="0">
              <a:solidFill>
                <a:srgbClr val="333333"/>
              </a:solidFill>
            </a:rPr>
            <a:t>", "</a:t>
          </a:r>
          <a:r>
            <a:rPr lang="en-US" cap="none" sz="1300" b="1" i="0" u="none" baseline="0">
              <a:solidFill>
                <a:srgbClr val="333333"/>
              </a:solidFill>
            </a:rPr>
            <a:t>brass</a:t>
          </a:r>
          <a:r>
            <a:rPr lang="en-US" cap="none" sz="1300" b="0" i="0" u="none" baseline="0">
              <a:solidFill>
                <a:srgbClr val="333333"/>
              </a:solidFill>
            </a:rPr>
            <a:t>" or "</a:t>
          </a:r>
          <a:r>
            <a:rPr lang="en-US" cap="none" sz="1300" b="1" i="0" u="none" baseline="0">
              <a:solidFill>
                <a:srgbClr val="333333"/>
              </a:solidFill>
            </a:rPr>
            <a:t>copper</a:t>
          </a:r>
          <a:r>
            <a:rPr lang="en-US" cap="none" sz="1300" b="0" i="0" u="none" baseline="0">
              <a:solidFill>
                <a:srgbClr val="333333"/>
              </a:solidFill>
            </a:rPr>
            <a:t>").  
</a:t>
          </a:r>
          <a:r>
            <a:rPr lang="en-US" cap="none" sz="1300" b="0" i="0" u="none" baseline="0">
              <a:solidFill>
                <a:srgbClr val="333333"/>
              </a:solidFill>
            </a:rPr>
            <a:t>Choose the type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of steel </a:t>
          </a:r>
          <a:r>
            <a:rPr lang="en-US" cap="none" sz="1300" b="1" i="0" u="none" baseline="0">
              <a:solidFill>
                <a:srgbClr val="333333"/>
              </a:solidFill>
            </a:rPr>
            <a:t>XM</a:t>
          </a:r>
          <a:r>
            <a:rPr lang="en-US" cap="none" sz="1300" b="0" i="0" u="none" baseline="0">
              <a:solidFill>
                <a:srgbClr val="333333"/>
              </a:solidFill>
            </a:rPr>
            <a:t>,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1" i="0" u="none" baseline="0">
              <a:solidFill>
                <a:srgbClr val="333333"/>
              </a:solidFill>
            </a:rPr>
            <a:t>M</a:t>
          </a:r>
          <a:r>
            <a:rPr lang="en-US" cap="none" sz="1300" b="0" i="0" u="none" baseline="0">
              <a:solidFill>
                <a:srgbClr val="333333"/>
              </a:solidFill>
            </a:rPr>
            <a:t>,</a:t>
          </a:r>
          <a:r>
            <a:rPr lang="en-US" cap="none" sz="1300" b="1" i="0" u="none" baseline="0">
              <a:solidFill>
                <a:srgbClr val="333333"/>
              </a:solidFill>
            </a:rPr>
            <a:t> 0</a:t>
          </a:r>
          <a:r>
            <a:rPr lang="en-US" cap="none" sz="1300" b="0" i="0" u="none" baseline="0">
              <a:solidFill>
                <a:srgbClr val="333333"/>
              </a:solidFill>
            </a:rPr>
            <a:t>, </a:t>
          </a:r>
          <a:r>
            <a:rPr lang="en-US" cap="none" sz="1300" b="1" i="0" u="none" baseline="0">
              <a:solidFill>
                <a:srgbClr val="333333"/>
              </a:solidFill>
            </a:rPr>
            <a:t>1</a:t>
          </a:r>
          <a:r>
            <a:rPr lang="en-US" cap="none" sz="1300" b="0" i="0" u="none" baseline="0">
              <a:solidFill>
                <a:srgbClr val="333333"/>
              </a:solidFill>
            </a:rPr>
            <a:t> or </a:t>
          </a:r>
          <a:r>
            <a:rPr lang="en-US" cap="none" sz="1300" b="1" i="0" u="none" baseline="0">
              <a:solidFill>
                <a:srgbClr val="333333"/>
              </a:solidFill>
            </a:rPr>
            <a:t>2</a:t>
          </a:r>
          <a:r>
            <a:rPr lang="en-US" cap="none" sz="1300" b="0" i="0" u="none" baseline="0">
              <a:solidFill>
                <a:srgbClr val="333333"/>
              </a:solidFill>
            </a:rPr>
            <a:t>, in order to harmonize the stress rate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indicated</a:t>
          </a:r>
          <a:r>
            <a:rPr lang="en-US" cap="none" sz="1300" b="0" i="0" u="none" baseline="0">
              <a:solidFill>
                <a:srgbClr val="333333"/>
              </a:solidFill>
            </a:rPr>
            <a:t> in</a:t>
          </a:r>
          <a:r>
            <a:rPr lang="en-US" cap="none" sz="1300" b="0" i="0" u="none" baseline="0">
              <a:solidFill>
                <a:srgbClr val="333333"/>
              </a:solidFill>
            </a:rPr>
            <a:t> the </a:t>
          </a:r>
          <a:r>
            <a:rPr lang="en-US" cap="none" sz="1300" b="0" i="0" u="none" baseline="0">
              <a:solidFill>
                <a:srgbClr val="333333"/>
              </a:solidFill>
            </a:rPr>
            <a:t>last column: t</a:t>
          </a:r>
          <a:r>
            <a:rPr lang="en-US" cap="none" sz="1300" b="0" i="0" u="none" baseline="0">
              <a:solidFill>
                <a:srgbClr val="333333"/>
              </a:solidFill>
            </a:rPr>
            <a:t>he stress  rate of the core wire of bass strings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should </a:t>
          </a:r>
          <a:r>
            <a:rPr lang="en-US" cap="none" sz="1300" b="0" i="0" u="none" baseline="0">
              <a:solidFill>
                <a:srgbClr val="333333"/>
              </a:solidFill>
            </a:rPr>
            <a:t>be </a:t>
          </a:r>
          <a:r>
            <a:rPr lang="en-US" cap="none" sz="1300" b="1" i="0" u="none" baseline="0">
              <a:solidFill>
                <a:srgbClr val="993300"/>
              </a:solidFill>
            </a:rPr>
            <a:t>between  50 and 55 %</a:t>
          </a:r>
          <a:r>
            <a:rPr lang="en-US" cap="none" sz="1300" b="1" i="0" u="none" baseline="0">
              <a:solidFill>
                <a:srgbClr val="993300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(</a:t>
          </a:r>
          <a:r>
            <a:rPr lang="en-US" cap="none" sz="1300" b="0" i="0" u="none" baseline="0">
              <a:solidFill>
                <a:srgbClr val="333333"/>
              </a:solidFill>
            </a:rPr>
            <a:t>t</a:t>
          </a:r>
          <a:r>
            <a:rPr lang="en-US" cap="none" sz="1300" b="0" i="0" u="none" baseline="0">
              <a:solidFill>
                <a:srgbClr val="333333"/>
              </a:solidFill>
            </a:rPr>
            <a:t>he</a:t>
          </a:r>
          <a:r>
            <a:rPr lang="en-US" cap="none" sz="1300" b="0" i="0" u="none" baseline="0">
              <a:solidFill>
                <a:srgbClr val="333333"/>
              </a:solidFill>
            </a:rPr>
            <a:t> tension will remain the same).
</a:t>
          </a:r>
          <a:r>
            <a:rPr lang="en-US" cap="none" sz="1300" b="0" i="0" u="none" baseline="0">
              <a:solidFill>
                <a:srgbClr val="333333"/>
              </a:solidFill>
            </a:rPr>
            <a:t>A bass string set often has to be wound on several different types of core wires</a:t>
          </a:r>
          <a:r>
            <a:rPr lang="en-US" cap="none" sz="1300" b="0" i="0" u="none" baseline="0">
              <a:solidFill>
                <a:srgbClr val="333333"/>
              </a:solidFill>
            </a:rPr>
            <a:t>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The first bichords sometimes are in type 0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in order to </a:t>
          </a:r>
          <a:r>
            <a:rPr lang="en-US" cap="none" sz="1300" b="0" i="0" u="none" baseline="0">
              <a:solidFill>
                <a:srgbClr val="333333"/>
              </a:solidFill>
            </a:rPr>
            <a:t>smooth the transition towards unichords.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If the stress rate exceeds 65% in the last bichords before the break, use type XM.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
</a:t>
          </a:r>
          <a:r>
            <a:rPr lang="en-US" cap="none" sz="1800" b="0" i="0" u="sng" baseline="0">
              <a:solidFill>
                <a:srgbClr val="333333"/>
              </a:solidFill>
            </a:rPr>
            <a:t>Plain Wire Strings:</a:t>
          </a:r>
          <a:r>
            <a:rPr lang="en-US" cap="none" sz="18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Choose a pitch A</a:t>
          </a:r>
          <a:r>
            <a:rPr lang="en-US" cap="none" sz="900" b="0" i="0" u="none" baseline="0">
              <a:solidFill>
                <a:srgbClr val="333333"/>
              </a:solidFill>
            </a:rPr>
            <a:t>4</a:t>
          </a:r>
          <a:r>
            <a:rPr lang="en-US" cap="none" sz="1300" b="0" i="0" u="none" baseline="0">
              <a:solidFill>
                <a:srgbClr val="333333"/>
              </a:solidFill>
            </a:rPr>
            <a:t> = 440 Hz or other...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Fill</a:t>
          </a:r>
          <a:r>
            <a:rPr lang="en-US" cap="none" sz="1300" b="0" i="0" u="none" baseline="0">
              <a:solidFill>
                <a:srgbClr val="333333"/>
              </a:solidFill>
            </a:rPr>
            <a:t> in </a:t>
          </a:r>
          <a:r>
            <a:rPr lang="en-US" cap="none" sz="1300" b="0" i="0" u="none" baseline="0">
              <a:solidFill>
                <a:srgbClr val="333333"/>
              </a:solidFill>
            </a:rPr>
            <a:t>the blue columns :</a:t>
          </a:r>
          <a:r>
            <a:rPr lang="en-US" cap="none" sz="1300" b="1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diameter</a:t>
          </a:r>
          <a:r>
            <a:rPr lang="en-US" cap="none" sz="1300" b="0" i="0" u="none" baseline="0">
              <a:solidFill>
                <a:srgbClr val="333333"/>
              </a:solidFill>
            </a:rPr>
            <a:t> of the plain wire </a:t>
          </a:r>
          <a:r>
            <a:rPr lang="en-US" cap="none" sz="1300" b="0" i="0" u="none" baseline="0">
              <a:solidFill>
                <a:srgbClr val="333333"/>
              </a:solidFill>
            </a:rPr>
            <a:t> in mm, total diameter (</a:t>
          </a:r>
          <a:r>
            <a:rPr lang="en-US" cap="none" sz="1300" b="0" i="0" u="none" baseline="0">
              <a:solidFill>
                <a:srgbClr val="333333"/>
              </a:solidFill>
            </a:rPr>
            <a:t>this column must be filled in by writing down a second time the diameter of the strings)</a:t>
          </a:r>
          <a:r>
            <a:rPr lang="en-US" cap="none" sz="1300" b="0" i="0" u="none" baseline="0">
              <a:solidFill>
                <a:srgbClr val="333333"/>
              </a:solidFill>
            </a:rPr>
            <a:t>,  length in mm, the number of string by unissons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(it </a:t>
          </a:r>
          <a:r>
            <a:rPr lang="en-US" cap="none" sz="1300" b="0" i="0" u="none" baseline="0">
              <a:solidFill>
                <a:srgbClr val="333333"/>
              </a:solidFill>
            </a:rPr>
            <a:t>is </a:t>
          </a:r>
          <a:r>
            <a:rPr lang="en-US" cap="none" sz="1300" b="0" i="0" u="none" baseline="0">
              <a:solidFill>
                <a:srgbClr val="333333"/>
              </a:solidFill>
            </a:rPr>
            <a:t>not necessary to fill in the column " winding type" for plain wire strings).
</a:t>
          </a:r>
          <a:r>
            <a:rPr lang="en-US" cap="none" sz="1300" b="0" i="0" u="none" baseline="0">
              <a:solidFill>
                <a:srgbClr val="333333"/>
              </a:solidFill>
            </a:rPr>
            <a:t>Choose the type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of steel by writing "</a:t>
          </a:r>
          <a:r>
            <a:rPr lang="en-US" cap="none" sz="1300" b="1" i="0" u="none" baseline="0">
              <a:solidFill>
                <a:srgbClr val="333333"/>
              </a:solidFill>
            </a:rPr>
            <a:t>XM"</a:t>
          </a:r>
          <a:r>
            <a:rPr lang="en-US" cap="none" sz="1300" b="0" i="0" u="none" baseline="0">
              <a:solidFill>
                <a:srgbClr val="333333"/>
              </a:solidFill>
            </a:rPr>
            <a:t>,</a:t>
          </a:r>
          <a:r>
            <a:rPr lang="en-US" cap="none" sz="1300" b="0" i="0" u="none" baseline="0">
              <a:solidFill>
                <a:srgbClr val="333333"/>
              </a:solidFill>
            </a:rPr>
            <a:t> "</a:t>
          </a:r>
          <a:r>
            <a:rPr lang="en-US" cap="none" sz="1300" b="1" i="0" u="none" baseline="0">
              <a:solidFill>
                <a:srgbClr val="333333"/>
              </a:solidFill>
            </a:rPr>
            <a:t>M"</a:t>
          </a:r>
          <a:r>
            <a:rPr lang="en-US" cap="none" sz="1300" b="0" i="0" u="none" baseline="0">
              <a:solidFill>
                <a:srgbClr val="333333"/>
              </a:solidFill>
            </a:rPr>
            <a:t>, "</a:t>
          </a:r>
          <a:r>
            <a:rPr lang="en-US" cap="none" sz="1300" b="1" i="0" u="none" baseline="0">
              <a:solidFill>
                <a:srgbClr val="333333"/>
              </a:solidFill>
            </a:rPr>
            <a:t>0"</a:t>
          </a:r>
          <a:r>
            <a:rPr lang="en-US" cap="none" sz="1300" b="0" i="0" u="none" baseline="0">
              <a:solidFill>
                <a:srgbClr val="333333"/>
              </a:solidFill>
            </a:rPr>
            <a:t>, "</a:t>
          </a:r>
          <a:r>
            <a:rPr lang="en-US" cap="none" sz="1300" b="1" i="0" u="none" baseline="0">
              <a:solidFill>
                <a:srgbClr val="333333"/>
              </a:solidFill>
            </a:rPr>
            <a:t>1"</a:t>
          </a:r>
          <a:r>
            <a:rPr lang="en-US" cap="none" sz="1300" b="0" i="0" u="none" baseline="0">
              <a:solidFill>
                <a:srgbClr val="333333"/>
              </a:solidFill>
            </a:rPr>
            <a:t> or "</a:t>
          </a:r>
          <a:r>
            <a:rPr lang="en-US" cap="none" sz="1300" b="1" i="0" u="none" baseline="0">
              <a:solidFill>
                <a:srgbClr val="333333"/>
              </a:solidFill>
            </a:rPr>
            <a:t>2"</a:t>
          </a:r>
          <a:r>
            <a:rPr lang="en-US" cap="none" sz="1300" b="0" i="0" u="none" baseline="0">
              <a:solidFill>
                <a:srgbClr val="333333"/>
              </a:solidFill>
            </a:rPr>
            <a:t>, in order to harmonize the stress rate indicated in the last column</a:t>
          </a:r>
          <a:r>
            <a:rPr lang="en-US" cap="none" sz="1300" b="0" i="0" u="none" baseline="0">
              <a:solidFill>
                <a:srgbClr val="333333"/>
              </a:solidFill>
            </a:rPr>
            <a:t> (the </a:t>
          </a:r>
          <a:r>
            <a:rPr lang="en-US" cap="none" sz="1300" b="0" i="0" u="none" baseline="0">
              <a:solidFill>
                <a:srgbClr val="333333"/>
              </a:solidFill>
            </a:rPr>
            <a:t>tension will remain the same).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Begin with approximately:
</a:t>
          </a:r>
          <a:r>
            <a:rPr lang="en-US" cap="none" sz="1300" b="0" i="0" u="none" baseline="0">
              <a:solidFill>
                <a:srgbClr val="333333"/>
              </a:solidFill>
            </a:rPr>
            <a:t>50 % for the first plain wire string at the break up to a maximum of...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60 % for A</a:t>
          </a:r>
          <a:r>
            <a:rPr lang="en-US" cap="none" sz="1050" b="0" i="0" u="none" baseline="0">
              <a:solidFill>
                <a:srgbClr val="333333"/>
              </a:solidFill>
            </a:rPr>
            <a:t>4</a:t>
          </a:r>
          <a:r>
            <a:rPr lang="en-US" cap="none" sz="1300" b="0" i="0" u="none" baseline="0">
              <a:solidFill>
                <a:srgbClr val="333333"/>
              </a:solidFill>
            </a:rPr>
            <a:t> 
</a:t>
          </a:r>
          <a:r>
            <a:rPr lang="en-US" cap="none" sz="1300" b="0" i="0" u="none" baseline="0">
              <a:solidFill>
                <a:srgbClr val="333333"/>
              </a:solidFill>
            </a:rPr>
            <a:t>       65 % for A</a:t>
          </a:r>
          <a:r>
            <a:rPr lang="en-US" cap="none" sz="1050" b="0" i="0" u="none" baseline="0">
              <a:solidFill>
                <a:srgbClr val="333333"/>
              </a:solidFill>
            </a:rPr>
            <a:t>5</a:t>
          </a:r>
          <a:r>
            <a:rPr lang="en-US" cap="none" sz="105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       70 % for A</a:t>
          </a:r>
          <a:r>
            <a:rPr lang="en-US" cap="none" sz="1050" b="0" i="0" u="none" baseline="0">
              <a:solidFill>
                <a:srgbClr val="333333"/>
              </a:solidFill>
            </a:rPr>
            <a:t>6</a:t>
          </a:r>
          <a:r>
            <a:rPr lang="en-US" cap="none" sz="1300" b="0" i="0" u="none" baseline="0">
              <a:solidFill>
                <a:srgbClr val="333333"/>
              </a:solidFill>
            </a:rPr>
            <a:t> 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       75 % for A</a:t>
          </a:r>
          <a:r>
            <a:rPr lang="en-US" cap="none" sz="1050" b="0" i="0" u="none" baseline="0">
              <a:solidFill>
                <a:srgbClr val="333333"/>
              </a:solidFill>
            </a:rPr>
            <a:t>7</a:t>
          </a:r>
          <a:r>
            <a:rPr lang="en-US" cap="none" sz="105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        80 % for F</a:t>
          </a:r>
          <a:r>
            <a:rPr lang="en-US" cap="none" sz="1050" b="0" i="0" u="none" baseline="0">
              <a:solidFill>
                <a:srgbClr val="333333"/>
              </a:solidFill>
            </a:rPr>
            <a:t>8</a:t>
          </a:r>
          <a:r>
            <a:rPr lang="en-US" cap="none" sz="1300" b="0" i="0" u="none" baseline="0">
              <a:solidFill>
                <a:srgbClr val="333333"/>
              </a:solidFill>
            </a:rPr>
            <a:t> 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</a:rPr>
            <a:t>Most of the time s</a:t>
          </a:r>
          <a:r>
            <a:rPr lang="en-US" cap="none" sz="1400" b="1" i="0" u="none" baseline="0">
              <a:solidFill>
                <a:srgbClr val="993300"/>
              </a:solidFill>
            </a:rPr>
            <a:t>tringings require the use of several types of steel.
</a:t>
          </a:r>
          <a:r>
            <a:rPr lang="en-US" cap="none" sz="1400" b="1" i="0" u="none" baseline="0">
              <a:solidFill>
                <a:srgbClr val="993300"/>
              </a:solidFill>
            </a:rPr>
            <a:t>This is what is called hybrid scaling
</a:t>
          </a:r>
          <a:r>
            <a:rPr lang="en-US" cap="none" sz="1400" b="1" i="0" u="none" baseline="0">
              <a:solidFill>
                <a:srgbClr val="993300"/>
              </a:solidFill>
            </a:rPr>
            <a:t>
</a:t>
          </a:r>
          <a:r>
            <a:rPr lang="en-US" cap="none" sz="1300" b="1" i="1" u="none" baseline="0">
              <a:solidFill>
                <a:srgbClr val="339966"/>
              </a:solidFill>
            </a:rPr>
            <a:t>It is preferable not to use  type 2 for a piano posterior to 1880.
</a:t>
          </a:r>
          <a:r>
            <a:rPr lang="en-US" cap="none" sz="1400" b="1" i="0" u="none" baseline="0">
              <a:solidFill>
                <a:srgbClr val="993300"/>
              </a:solidFill>
            </a:rPr>
            <a:t>
</a:t>
          </a:r>
          <a:r>
            <a:rPr lang="en-US" cap="none" sz="1400" b="1" i="0" u="none" baseline="0">
              <a:solidFill>
                <a:srgbClr val="339966"/>
              </a:solidFill>
            </a:rPr>
            <a:t>wire@stephenpaulello.com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300" b="1" i="1" u="none" baseline="0">
              <a:solidFill>
                <a:srgbClr val="333333"/>
              </a:solidFill>
            </a:rPr>
            <a:t> </a:t>
          </a:r>
          <a:r>
            <a:rPr lang="en-US" cap="none" sz="1300" b="0" i="0" u="none" baseline="0">
              <a:solidFill>
                <a:srgbClr val="333333"/>
              </a:solidFill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12</xdr:col>
      <xdr:colOff>742950</xdr:colOff>
      <xdr:row>13</xdr:row>
      <xdr:rowOff>361950</xdr:rowOff>
    </xdr:from>
    <xdr:to>
      <xdr:col>35</xdr:col>
      <xdr:colOff>209550</xdr:colOff>
      <xdr:row>22</xdr:row>
      <xdr:rowOff>38100</xdr:rowOff>
    </xdr:to>
    <xdr:grpSp>
      <xdr:nvGrpSpPr>
        <xdr:cNvPr id="4" name="Groupe 26"/>
        <xdr:cNvGrpSpPr>
          <a:grpSpLocks/>
        </xdr:cNvGrpSpPr>
      </xdr:nvGrpSpPr>
      <xdr:grpSpPr>
        <a:xfrm>
          <a:off x="8153400" y="2952750"/>
          <a:ext cx="6419850" cy="2352675"/>
          <a:chOff x="9077960" y="330200"/>
          <a:chExt cx="5854700" cy="2054860"/>
        </a:xfrm>
        <a:solidFill>
          <a:srgbClr val="FFFFFF"/>
        </a:solidFill>
      </xdr:grpSpPr>
      <xdr:pic>
        <xdr:nvPicPr>
          <xdr:cNvPr id="5" name="Image 5" descr="Corde Nue Petite Boucle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77960" y="330200"/>
            <a:ext cx="5854700" cy="20548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Connecteur droit avec flèche 7"/>
          <xdr:cNvSpPr>
            <a:spLocks/>
          </xdr:cNvSpPr>
        </xdr:nvSpPr>
        <xdr:spPr>
          <a:xfrm>
            <a:off x="9896154" y="639456"/>
            <a:ext cx="2865876" cy="783415"/>
          </a:xfrm>
          <a:prstGeom prst="straightConnector1">
            <a:avLst/>
          </a:prstGeom>
          <a:noFill/>
          <a:ln w="9525" cmpd="sng">
            <a:solidFill>
              <a:srgbClr val="215968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necteur droit 8"/>
          <xdr:cNvSpPr>
            <a:spLocks/>
          </xdr:cNvSpPr>
        </xdr:nvSpPr>
        <xdr:spPr>
          <a:xfrm flipV="1">
            <a:off x="9686849" y="653327"/>
            <a:ext cx="155150" cy="41097"/>
          </a:xfrm>
          <a:prstGeom prst="line">
            <a:avLst/>
          </a:prstGeom>
          <a:noFill/>
          <a:ln w="9525" cmpd="sng">
            <a:solidFill>
              <a:srgbClr val="215968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necteur droit 9"/>
          <xdr:cNvSpPr>
            <a:spLocks/>
          </xdr:cNvSpPr>
        </xdr:nvSpPr>
        <xdr:spPr>
          <a:xfrm flipV="1">
            <a:off x="12451731" y="1491710"/>
            <a:ext cx="196132" cy="54968"/>
          </a:xfrm>
          <a:prstGeom prst="line">
            <a:avLst/>
          </a:prstGeom>
          <a:noFill/>
          <a:ln w="9525" cmpd="sng">
            <a:solidFill>
              <a:srgbClr val="215968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10</xdr:row>
      <xdr:rowOff>104775</xdr:rowOff>
    </xdr:from>
    <xdr:to>
      <xdr:col>34</xdr:col>
      <xdr:colOff>609600</xdr:colOff>
      <xdr:row>17</xdr:row>
      <xdr:rowOff>152400</xdr:rowOff>
    </xdr:to>
    <xdr:sp>
      <xdr:nvSpPr>
        <xdr:cNvPr id="9" name="ZoneTexte 10"/>
        <xdr:cNvSpPr txBox="1">
          <a:spLocks noChangeArrowheads="1"/>
        </xdr:cNvSpPr>
      </xdr:nvSpPr>
      <xdr:spPr>
        <a:xfrm>
          <a:off x="8915400" y="2085975"/>
          <a:ext cx="52959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SPEAKING</a:t>
          </a: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LENGTH</a:t>
          </a:r>
          <a:r>
            <a:rPr lang="en-US" cap="none" sz="105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from the middle of the agrafe or capo d'astre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               </a:t>
          </a:r>
          <a:r>
            <a:rPr lang="en-US" cap="none" sz="105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to the middle of the front bridge pin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4</xdr:col>
      <xdr:colOff>485775</xdr:colOff>
      <xdr:row>11</xdr:row>
      <xdr:rowOff>47625</xdr:rowOff>
    </xdr:to>
    <xdr:pic>
      <xdr:nvPicPr>
        <xdr:cNvPr id="10" name="Image 5" descr="logo_corde Bleu Paulel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2955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W120"/>
  <sheetViews>
    <sheetView showGridLines="0" tabSelected="1" zoomScale="80" zoomScaleNormal="80" zoomScalePageLayoutView="0" workbookViewId="0" topLeftCell="E1">
      <selection activeCell="O1" sqref="O1"/>
    </sheetView>
  </sheetViews>
  <sheetFormatPr defaultColWidth="11.421875" defaultRowHeight="12.75"/>
  <cols>
    <col min="1" max="1" width="7.00390625" style="1" customWidth="1"/>
    <col min="2" max="2" width="8.140625" style="1" customWidth="1"/>
    <col min="3" max="3" width="12.140625" style="1" customWidth="1"/>
    <col min="4" max="4" width="14.57421875" style="1" hidden="1" customWidth="1"/>
    <col min="5" max="5" width="13.7109375" style="1" customWidth="1"/>
    <col min="6" max="6" width="15.28125" style="1" customWidth="1"/>
    <col min="7" max="7" width="11.8515625" style="1" hidden="1" customWidth="1"/>
    <col min="8" max="8" width="12.421875" style="2" customWidth="1"/>
    <col min="9" max="9" width="7.421875" style="1" hidden="1" customWidth="1"/>
    <col min="10" max="10" width="13.57421875" style="1" customWidth="1"/>
    <col min="11" max="11" width="13.28125" style="1" customWidth="1"/>
    <col min="12" max="12" width="15.57421875" style="1" customWidth="1"/>
    <col min="13" max="13" width="15.7109375" style="1" customWidth="1"/>
    <col min="14" max="14" width="9.7109375" style="21" customWidth="1"/>
    <col min="15" max="15" width="21.7109375" style="21" customWidth="1"/>
    <col min="16" max="16" width="26.140625" style="21" hidden="1" customWidth="1"/>
    <col min="17" max="17" width="27.8515625" style="21" hidden="1" customWidth="1"/>
    <col min="18" max="18" width="60.140625" style="21" hidden="1" customWidth="1"/>
    <col min="19" max="19" width="39.7109375" style="21" hidden="1" customWidth="1"/>
    <col min="20" max="20" width="41.421875" style="21" hidden="1" customWidth="1"/>
    <col min="21" max="21" width="45.57421875" style="21" hidden="1" customWidth="1"/>
    <col min="22" max="22" width="36.7109375" style="21" hidden="1" customWidth="1"/>
    <col min="23" max="23" width="35.00390625" style="21" hidden="1" customWidth="1"/>
    <col min="24" max="24" width="34.140625" style="21" hidden="1" customWidth="1"/>
    <col min="25" max="25" width="29.421875" style="21" hidden="1" customWidth="1"/>
    <col min="26" max="26" width="23.00390625" style="21" hidden="1" customWidth="1"/>
    <col min="27" max="27" width="20.8515625" style="21" hidden="1" customWidth="1"/>
    <col min="28" max="28" width="25.7109375" style="21" hidden="1" customWidth="1"/>
    <col min="29" max="29" width="23.28125" style="21" hidden="1" customWidth="1"/>
    <col min="30" max="30" width="21.57421875" style="21" hidden="1" customWidth="1"/>
    <col min="31" max="41" width="11.421875" style="21" customWidth="1"/>
    <col min="42" max="16384" width="11.421875" style="1" customWidth="1"/>
  </cols>
  <sheetData>
    <row r="1" spans="1:38" ht="35.25" customHeight="1">
      <c r="A1" s="65"/>
      <c r="B1" s="65"/>
      <c r="C1" s="65"/>
      <c r="D1" s="66"/>
      <c r="E1" s="67"/>
      <c r="F1" s="72" t="s">
        <v>134</v>
      </c>
      <c r="G1" s="52"/>
      <c r="H1" s="56"/>
      <c r="I1" s="52"/>
      <c r="J1" s="75" t="s">
        <v>135</v>
      </c>
      <c r="K1" s="56"/>
      <c r="L1" s="72" t="s">
        <v>136</v>
      </c>
      <c r="M1" s="55"/>
      <c r="N1" s="77" t="s">
        <v>137</v>
      </c>
      <c r="O1" s="55"/>
      <c r="P1" s="20"/>
      <c r="AD1" s="22"/>
      <c r="AE1" s="70"/>
      <c r="AF1" s="70"/>
      <c r="AG1" s="70"/>
      <c r="AH1" s="65"/>
      <c r="AI1" s="65"/>
      <c r="AJ1" s="65"/>
      <c r="AK1" s="65"/>
      <c r="AL1" s="65"/>
    </row>
    <row r="2" spans="1:38" ht="12.75">
      <c r="A2" s="65"/>
      <c r="B2" s="65"/>
      <c r="C2" s="65"/>
      <c r="D2" s="66"/>
      <c r="E2" s="66"/>
      <c r="F2" s="66"/>
      <c r="G2" s="4"/>
      <c r="H2" s="4"/>
      <c r="I2" s="4"/>
      <c r="J2" s="66"/>
      <c r="K2" s="66"/>
      <c r="L2" s="65"/>
      <c r="M2" s="65"/>
      <c r="N2" s="65"/>
      <c r="O2" s="78"/>
      <c r="P2" s="65"/>
      <c r="Q2" s="65" t="s">
        <v>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8" ht="12.75">
      <c r="A3" s="65"/>
      <c r="B3" s="65"/>
      <c r="C3" s="65"/>
      <c r="D3" s="65"/>
      <c r="E3" s="65"/>
      <c r="F3" s="65"/>
      <c r="H3" s="71"/>
      <c r="J3" s="65"/>
      <c r="K3" s="65"/>
      <c r="L3" s="65"/>
      <c r="M3" s="65"/>
      <c r="N3" s="65"/>
      <c r="O3" s="78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38" ht="12.75">
      <c r="A4" s="65"/>
      <c r="B4" s="65"/>
      <c r="C4" s="65"/>
      <c r="D4" s="65"/>
      <c r="E4" s="65"/>
      <c r="F4" s="65"/>
      <c r="H4" s="71"/>
      <c r="J4" s="65"/>
      <c r="K4" s="65"/>
      <c r="L4" s="65"/>
      <c r="M4" s="65"/>
      <c r="N4" s="65"/>
      <c r="O4" s="78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 t="s">
        <v>18</v>
      </c>
      <c r="AF4" s="70"/>
      <c r="AG4" s="70"/>
      <c r="AH4" s="70"/>
      <c r="AI4" s="70"/>
      <c r="AJ4" s="65"/>
      <c r="AK4" s="65"/>
      <c r="AL4" s="65"/>
    </row>
    <row r="5" spans="1:38" ht="12.75">
      <c r="A5" s="65"/>
      <c r="B5" s="65"/>
      <c r="C5" s="65"/>
      <c r="D5" s="65"/>
      <c r="E5" s="65"/>
      <c r="F5" s="65"/>
      <c r="H5" s="73"/>
      <c r="J5" s="65"/>
      <c r="K5" s="65"/>
      <c r="L5" s="65"/>
      <c r="M5" s="65"/>
      <c r="N5" s="65"/>
      <c r="O5" s="78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</row>
    <row r="6" spans="1:38" ht="12.75">
      <c r="A6" s="65"/>
      <c r="B6" s="65"/>
      <c r="C6" s="65"/>
      <c r="D6" s="65"/>
      <c r="E6" s="65"/>
      <c r="F6" s="65"/>
      <c r="H6" s="73"/>
      <c r="J6" s="65"/>
      <c r="K6" s="65"/>
      <c r="L6" s="65"/>
      <c r="M6" s="65"/>
      <c r="N6" s="65"/>
      <c r="O6" s="78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79"/>
      <c r="AI6" s="65"/>
      <c r="AJ6" s="65"/>
      <c r="AK6" s="65"/>
      <c r="AL6" s="65"/>
    </row>
    <row r="7" spans="1:38" ht="12.75">
      <c r="A7" s="65"/>
      <c r="B7" s="65"/>
      <c r="C7" s="65"/>
      <c r="D7" s="65"/>
      <c r="E7" s="65"/>
      <c r="F7" s="65"/>
      <c r="H7" s="71"/>
      <c r="J7" s="65"/>
      <c r="K7" s="65"/>
      <c r="L7" s="65"/>
      <c r="M7" s="65"/>
      <c r="N7" s="65"/>
      <c r="O7" s="7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73"/>
      <c r="AI7" s="71"/>
      <c r="AJ7" s="71"/>
      <c r="AK7" s="71"/>
      <c r="AL7" s="65"/>
    </row>
    <row r="8" spans="1:38" ht="12.75">
      <c r="A8" s="65"/>
      <c r="B8" s="65"/>
      <c r="C8" s="65"/>
      <c r="D8" s="68"/>
      <c r="E8" s="69"/>
      <c r="F8" s="69"/>
      <c r="G8" s="3"/>
      <c r="H8" s="74"/>
      <c r="J8" s="65"/>
      <c r="K8" s="65"/>
      <c r="L8" s="65"/>
      <c r="M8" s="65"/>
      <c r="N8" s="65"/>
      <c r="O8" s="78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74"/>
      <c r="AI8" s="71"/>
      <c r="AJ8" s="71"/>
      <c r="AK8" s="71"/>
      <c r="AL8" s="65"/>
    </row>
    <row r="9" spans="1:38" ht="15.75">
      <c r="A9" s="70"/>
      <c r="B9" s="70"/>
      <c r="C9" s="65"/>
      <c r="D9" s="68"/>
      <c r="E9" s="65"/>
      <c r="F9" s="65"/>
      <c r="H9" s="71"/>
      <c r="J9" s="65"/>
      <c r="K9" s="76" t="s">
        <v>21</v>
      </c>
      <c r="L9" s="65"/>
      <c r="M9" s="65"/>
      <c r="N9" s="65"/>
      <c r="O9" s="78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74"/>
      <c r="AI9" s="71"/>
      <c r="AJ9" s="71"/>
      <c r="AK9" s="71"/>
      <c r="AL9" s="65"/>
    </row>
    <row r="10" spans="1:38" ht="15.75">
      <c r="A10" s="65"/>
      <c r="B10" s="65"/>
      <c r="C10" s="65"/>
      <c r="D10" s="65"/>
      <c r="E10" s="65"/>
      <c r="F10" s="65"/>
      <c r="H10" s="71"/>
      <c r="J10" s="65"/>
      <c r="K10" s="11" t="s">
        <v>13</v>
      </c>
      <c r="L10" s="65"/>
      <c r="M10" s="65"/>
      <c r="N10" s="65"/>
      <c r="O10" s="78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73"/>
      <c r="AI10" s="71"/>
      <c r="AJ10" s="71"/>
      <c r="AK10" s="71"/>
      <c r="AL10" s="65"/>
    </row>
    <row r="11" spans="1:38" ht="18.75">
      <c r="A11" s="65"/>
      <c r="B11" s="65"/>
      <c r="C11" s="65"/>
      <c r="D11" s="65"/>
      <c r="E11" s="6"/>
      <c r="F11" s="24" t="s">
        <v>132</v>
      </c>
      <c r="H11" s="5">
        <v>442</v>
      </c>
      <c r="J11" s="65"/>
      <c r="K11" s="12">
        <v>0</v>
      </c>
      <c r="L11" s="65"/>
      <c r="M11" s="65"/>
      <c r="N11" s="65"/>
      <c r="O11" s="78" t="s">
        <v>18</v>
      </c>
      <c r="P11" s="65"/>
      <c r="Q11" s="79" t="s">
        <v>12</v>
      </c>
      <c r="R11" s="69">
        <v>6.039</v>
      </c>
      <c r="S11" s="65"/>
      <c r="T11" s="65"/>
      <c r="U11" s="65"/>
      <c r="V11" s="65"/>
      <c r="W11" s="65"/>
      <c r="X11" s="65"/>
      <c r="Y11" s="80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71"/>
      <c r="AL11" s="65"/>
    </row>
    <row r="12" spans="1:38" ht="15.75">
      <c r="A12" s="65"/>
      <c r="B12" s="65"/>
      <c r="C12" s="65"/>
      <c r="D12" s="65"/>
      <c r="E12" s="65"/>
      <c r="F12" s="65"/>
      <c r="H12" s="71"/>
      <c r="J12" s="65"/>
      <c r="K12" s="13">
        <v>1</v>
      </c>
      <c r="L12" s="65"/>
      <c r="M12" s="65"/>
      <c r="N12" s="65"/>
      <c r="O12" s="65"/>
      <c r="P12" s="65"/>
      <c r="Q12" s="79" t="s">
        <v>11</v>
      </c>
      <c r="R12" s="69">
        <v>6.691</v>
      </c>
      <c r="S12" s="65"/>
      <c r="T12" s="65"/>
      <c r="U12" s="65"/>
      <c r="V12" s="65"/>
      <c r="W12" s="65"/>
      <c r="X12" s="65"/>
      <c r="Y12" s="81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71"/>
      <c r="AL12" s="65"/>
    </row>
    <row r="13" spans="1:38" ht="13.5" customHeight="1" thickBot="1">
      <c r="A13" s="71"/>
      <c r="B13" s="71"/>
      <c r="C13" s="71"/>
      <c r="D13" s="71"/>
      <c r="E13" s="71"/>
      <c r="F13" s="71"/>
      <c r="G13" s="2"/>
      <c r="H13" s="71"/>
      <c r="I13" s="3"/>
      <c r="J13" s="71"/>
      <c r="K13" s="14">
        <v>2</v>
      </c>
      <c r="L13" s="71"/>
      <c r="M13" s="65"/>
      <c r="N13" s="65"/>
      <c r="O13" s="65"/>
      <c r="P13" s="65"/>
      <c r="Q13" s="79" t="s">
        <v>15</v>
      </c>
      <c r="R13" s="74">
        <v>6.99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71"/>
      <c r="AL13" s="65"/>
    </row>
    <row r="14" spans="1:38" ht="60.75" customHeight="1" thickBot="1">
      <c r="A14" s="17" t="s">
        <v>1</v>
      </c>
      <c r="B14" s="18" t="s">
        <v>2</v>
      </c>
      <c r="C14" s="25" t="s">
        <v>22</v>
      </c>
      <c r="D14" s="26" t="s">
        <v>17</v>
      </c>
      <c r="E14" s="27" t="s">
        <v>23</v>
      </c>
      <c r="F14" s="27" t="s">
        <v>133</v>
      </c>
      <c r="G14" s="28" t="s">
        <v>16</v>
      </c>
      <c r="H14" s="27" t="s">
        <v>24</v>
      </c>
      <c r="I14" s="29" t="s">
        <v>25</v>
      </c>
      <c r="J14" s="27" t="s">
        <v>26</v>
      </c>
      <c r="K14" s="27" t="s">
        <v>27</v>
      </c>
      <c r="L14" s="30" t="s">
        <v>28</v>
      </c>
      <c r="M14" s="82"/>
      <c r="N14" s="83"/>
      <c r="O14" s="84"/>
      <c r="P14" s="85"/>
      <c r="Q14" s="86" t="s">
        <v>19</v>
      </c>
      <c r="R14" s="87"/>
      <c r="S14" s="85"/>
      <c r="T14" s="86" t="s">
        <v>14</v>
      </c>
      <c r="U14" s="87"/>
      <c r="V14" s="88"/>
      <c r="W14" s="86" t="s">
        <v>3</v>
      </c>
      <c r="X14" s="89"/>
      <c r="Y14" s="88"/>
      <c r="Z14" s="90" t="s">
        <v>4</v>
      </c>
      <c r="AA14" s="90"/>
      <c r="AB14" s="88"/>
      <c r="AC14" s="89" t="s">
        <v>5</v>
      </c>
      <c r="AD14" s="91"/>
      <c r="AE14" s="65"/>
      <c r="AF14" s="65"/>
      <c r="AG14" s="65"/>
      <c r="AH14" s="65"/>
      <c r="AI14" s="65"/>
      <c r="AJ14" s="65"/>
      <c r="AK14" s="71"/>
      <c r="AL14" s="65"/>
    </row>
    <row r="15" spans="1:38" ht="18.75">
      <c r="A15" s="16">
        <v>-9</v>
      </c>
      <c r="B15" s="31" t="s">
        <v>29</v>
      </c>
      <c r="C15" s="53"/>
      <c r="D15" s="53"/>
      <c r="E15" s="53"/>
      <c r="F15" s="53"/>
      <c r="G15" s="53" t="e">
        <f>((($H$11/16/(2^(1/12)^9))*F15*E15)^2*PI()*(IF(J15="iron",$R$11,IF(J15="brass",$R$12,IF(J15="copper",$R$13)))*(((E15-C15)/2)^2+C15*(E15-C15)/2)+(C15^2*0.25*7.85))/((E15-C15)/2+C15*0.5)^2)/(10^9)</f>
        <v>#DIV/0!</v>
      </c>
      <c r="H15" s="53"/>
      <c r="I15" s="53"/>
      <c r="J15" s="53"/>
      <c r="K15" s="53"/>
      <c r="L15" s="54" t="e">
        <f aca="true" t="shared" si="0" ref="L15:L77">100/(IF($K15="XM",VLOOKUP(C15,$Q$16:$R$33,2),IF($K15="M",VLOOKUP(C15,$T$16:$U$47,2),IF($K15=0,VLOOKUP(C15,$W$16:$X$47,2),IF($K15=1,VLOOKUP(C15,$Z$16:$AA$50,2),IF($K15=2,VLOOKUP(C15,$AC$16:$AD$53,2)))))))*G15</f>
        <v>#N/A</v>
      </c>
      <c r="M15" s="92"/>
      <c r="N15" s="65"/>
      <c r="O15" s="93"/>
      <c r="P15" s="88" t="s">
        <v>1</v>
      </c>
      <c r="Q15" s="94" t="s">
        <v>20</v>
      </c>
      <c r="R15" s="95" t="s">
        <v>6</v>
      </c>
      <c r="S15" s="88" t="s">
        <v>1</v>
      </c>
      <c r="T15" s="94" t="s">
        <v>10</v>
      </c>
      <c r="U15" s="95" t="s">
        <v>6</v>
      </c>
      <c r="V15" s="96" t="s">
        <v>1</v>
      </c>
      <c r="W15" s="97" t="s">
        <v>7</v>
      </c>
      <c r="X15" s="89" t="s">
        <v>6</v>
      </c>
      <c r="Y15" s="98" t="s">
        <v>1</v>
      </c>
      <c r="Z15" s="89" t="s">
        <v>8</v>
      </c>
      <c r="AA15" s="89" t="s">
        <v>6</v>
      </c>
      <c r="AB15" s="88" t="s">
        <v>1</v>
      </c>
      <c r="AC15" s="97" t="s">
        <v>9</v>
      </c>
      <c r="AD15" s="95" t="s">
        <v>6</v>
      </c>
      <c r="AE15" s="65"/>
      <c r="AF15" s="65"/>
      <c r="AG15" s="65"/>
      <c r="AH15" s="65"/>
      <c r="AI15" s="65"/>
      <c r="AJ15" s="65"/>
      <c r="AK15" s="71"/>
      <c r="AL15" s="65"/>
    </row>
    <row r="16" spans="1:38" ht="18.75">
      <c r="A16" s="15">
        <v>-8</v>
      </c>
      <c r="B16" s="31" t="s">
        <v>30</v>
      </c>
      <c r="C16" s="53"/>
      <c r="D16" s="53"/>
      <c r="E16" s="53"/>
      <c r="F16" s="53"/>
      <c r="G16" s="53" t="e">
        <f>((($H$11/16/(2^(1/12)^8))*F16*E16)^2*PI()*(IF(J16="iron",$R$11,IF(J16="brass",$R$12,IF(J16="copper",$R$13)))*(((E16-C16)/2)^2+C16*(E16-C16)/2)+(C16^2*0.25*7.85))/((E16-C16)/2+C16*0.5)^2)/(10^9)</f>
        <v>#DIV/0!</v>
      </c>
      <c r="H16" s="53"/>
      <c r="I16" s="53"/>
      <c r="J16" s="53"/>
      <c r="K16" s="53"/>
      <c r="L16" s="54" t="e">
        <f t="shared" si="0"/>
        <v>#N/A</v>
      </c>
      <c r="M16" s="65"/>
      <c r="N16" s="84"/>
      <c r="O16" s="84"/>
      <c r="P16" s="99">
        <v>13</v>
      </c>
      <c r="Q16" s="100">
        <v>0.775</v>
      </c>
      <c r="R16" s="101">
        <v>1048</v>
      </c>
      <c r="S16" s="99">
        <v>11</v>
      </c>
      <c r="T16" s="100">
        <v>0.675</v>
      </c>
      <c r="U16" s="102">
        <v>667.3399953594252</v>
      </c>
      <c r="V16" s="100">
        <v>11</v>
      </c>
      <c r="W16" s="100">
        <v>0.675</v>
      </c>
      <c r="X16" s="102">
        <v>593.3998510917712</v>
      </c>
      <c r="Y16" s="99">
        <v>9</v>
      </c>
      <c r="Z16" s="74">
        <v>0.575</v>
      </c>
      <c r="AA16" s="103">
        <v>373.92806559352505</v>
      </c>
      <c r="AB16" s="69">
        <v>5</v>
      </c>
      <c r="AC16" s="104">
        <v>0.4</v>
      </c>
      <c r="AD16" s="103">
        <v>157.99992099999997</v>
      </c>
      <c r="AE16" s="65"/>
      <c r="AF16" s="65"/>
      <c r="AG16" s="105"/>
      <c r="AH16" s="65"/>
      <c r="AI16" s="65"/>
      <c r="AJ16" s="65"/>
      <c r="AK16" s="71"/>
      <c r="AL16" s="65"/>
    </row>
    <row r="17" spans="1:38" ht="18.75">
      <c r="A17" s="15">
        <v>-7</v>
      </c>
      <c r="B17" s="31" t="s">
        <v>31</v>
      </c>
      <c r="C17" s="53"/>
      <c r="D17" s="53"/>
      <c r="E17" s="53"/>
      <c r="F17" s="53"/>
      <c r="G17" s="53" t="e">
        <f>((($H$11/16/(2^(1/12)^7))*F17*E17)^2*PI()*(IF(J17="iron",$R$11,IF(J17="brass",$R$12,IF(J17="copper",$R$13)))*(((E17-C17)/2)^2+C17*(E17-C17)/2)+(C17^2*0.25*7.85))/((E17-C17)/2+C17*0.5)^2)/(10^9)</f>
        <v>#DIV/0!</v>
      </c>
      <c r="H17" s="53"/>
      <c r="I17" s="53"/>
      <c r="J17" s="53"/>
      <c r="K17" s="53"/>
      <c r="L17" s="54" t="e">
        <f t="shared" si="0"/>
        <v>#N/A</v>
      </c>
      <c r="M17" s="65"/>
      <c r="N17" s="84"/>
      <c r="O17" s="84"/>
      <c r="P17" s="99">
        <v>13.5</v>
      </c>
      <c r="Q17" s="100">
        <v>0.8</v>
      </c>
      <c r="R17" s="101">
        <v>1087.8267217879234</v>
      </c>
      <c r="S17" s="99">
        <v>11.5</v>
      </c>
      <c r="T17" s="100">
        <v>0.7</v>
      </c>
      <c r="U17" s="102">
        <v>713.3584986075215</v>
      </c>
      <c r="V17" s="100">
        <v>11.5</v>
      </c>
      <c r="W17" s="100">
        <v>0.7</v>
      </c>
      <c r="X17" s="102">
        <v>633.551245981594</v>
      </c>
      <c r="Y17" s="99">
        <v>9.5</v>
      </c>
      <c r="Z17" s="74">
        <v>0.6</v>
      </c>
      <c r="AA17" s="102">
        <v>402.90925782289094</v>
      </c>
      <c r="AB17" s="69">
        <v>5.5</v>
      </c>
      <c r="AC17" s="100">
        <v>0.425</v>
      </c>
      <c r="AD17" s="102">
        <v>176.9999115</v>
      </c>
      <c r="AE17" s="65"/>
      <c r="AF17" s="65"/>
      <c r="AG17" s="105"/>
      <c r="AH17" s="65"/>
      <c r="AI17" s="65"/>
      <c r="AJ17" s="65"/>
      <c r="AK17" s="71"/>
      <c r="AL17" s="65"/>
    </row>
    <row r="18" spans="1:38" ht="18.75">
      <c r="A18" s="15">
        <v>-6</v>
      </c>
      <c r="B18" s="31" t="s">
        <v>32</v>
      </c>
      <c r="C18" s="53"/>
      <c r="D18" s="53"/>
      <c r="E18" s="53"/>
      <c r="F18" s="53"/>
      <c r="G18" s="53" t="e">
        <f>((($H$11/16/(2^(1/12)^6))*F18*E18)^2*PI()*(IF(J18="iron",$R$11,IF(J18="brass",$R$12,IF(J18="copper",$R$13)))*(((E18-C18)/2)^2+C18*(E18-C18)/2)+(C18^2*0.25*7.85))/((E18-C18)/2+C18*0.5)^2)/(10^9)</f>
        <v>#DIV/0!</v>
      </c>
      <c r="H18" s="53"/>
      <c r="I18" s="53"/>
      <c r="J18" s="53"/>
      <c r="K18" s="53"/>
      <c r="L18" s="54" t="e">
        <f t="shared" si="0"/>
        <v>#N/A</v>
      </c>
      <c r="M18" s="65"/>
      <c r="N18" s="106"/>
      <c r="O18" s="84"/>
      <c r="P18" s="99">
        <v>14</v>
      </c>
      <c r="Q18" s="100">
        <v>0.825</v>
      </c>
      <c r="R18" s="101">
        <v>1154</v>
      </c>
      <c r="S18" s="99">
        <v>12</v>
      </c>
      <c r="T18" s="100">
        <v>0.725</v>
      </c>
      <c r="U18" s="102">
        <v>762.2811956424748</v>
      </c>
      <c r="V18" s="100">
        <v>12</v>
      </c>
      <c r="W18" s="100">
        <v>0.725</v>
      </c>
      <c r="X18" s="102">
        <v>674.6591085722797</v>
      </c>
      <c r="Y18" s="99">
        <v>10</v>
      </c>
      <c r="Z18" s="74">
        <v>0.625</v>
      </c>
      <c r="AA18" s="102">
        <v>432.5825821837508</v>
      </c>
      <c r="AB18" s="74">
        <v>6</v>
      </c>
      <c r="AC18" s="100">
        <v>0.45</v>
      </c>
      <c r="AD18" s="102">
        <v>196.9999015</v>
      </c>
      <c r="AE18" s="65"/>
      <c r="AF18" s="65"/>
      <c r="AG18" s="105"/>
      <c r="AH18" s="65"/>
      <c r="AI18" s="65"/>
      <c r="AJ18" s="65"/>
      <c r="AK18" s="71"/>
      <c r="AL18" s="65"/>
    </row>
    <row r="19" spans="1:38" ht="18.75">
      <c r="A19" s="15">
        <v>-5</v>
      </c>
      <c r="B19" s="31" t="s">
        <v>33</v>
      </c>
      <c r="C19" s="53"/>
      <c r="D19" s="53"/>
      <c r="E19" s="53"/>
      <c r="F19" s="53"/>
      <c r="G19" s="53" t="e">
        <f>((($H$11/16/(2^(1/12)^5))*F19*E19)^2*PI()*(IF(J19="iron",$R$11,IF(J19="brass",$R$12,IF(J19="copper",$R$13)))*(((E19-C19)/2)^2+C19*(E19-C19)/2)+(C19^2*0.25*7.85))/((E19-C19)/2+C19*0.5)^2)/(10^9)</f>
        <v>#DIV/0!</v>
      </c>
      <c r="H19" s="53"/>
      <c r="I19" s="53"/>
      <c r="J19" s="53"/>
      <c r="K19" s="53"/>
      <c r="L19" s="54" t="e">
        <f t="shared" si="0"/>
        <v>#N/A</v>
      </c>
      <c r="M19" s="65"/>
      <c r="N19" s="93"/>
      <c r="O19" s="93"/>
      <c r="P19" s="99">
        <v>14.5</v>
      </c>
      <c r="Q19" s="100">
        <v>0.85</v>
      </c>
      <c r="R19" s="101">
        <v>1197.5397520873835</v>
      </c>
      <c r="S19" s="99">
        <v>12.5</v>
      </c>
      <c r="T19" s="100">
        <v>0.75</v>
      </c>
      <c r="U19" s="102">
        <v>810.7886133985314</v>
      </c>
      <c r="V19" s="100">
        <v>12.5</v>
      </c>
      <c r="W19" s="100">
        <v>0.75</v>
      </c>
      <c r="X19" s="102">
        <v>716.6880959464746</v>
      </c>
      <c r="Y19" s="99">
        <v>10.5</v>
      </c>
      <c r="Z19" s="74">
        <v>0.65</v>
      </c>
      <c r="AA19" s="102">
        <v>462.9038600294136</v>
      </c>
      <c r="AB19" s="74">
        <v>6.5</v>
      </c>
      <c r="AC19" s="100">
        <v>0.475</v>
      </c>
      <c r="AD19" s="102">
        <v>216.99989149999996</v>
      </c>
      <c r="AE19" s="65"/>
      <c r="AF19" s="65"/>
      <c r="AG19" s="93"/>
      <c r="AH19" s="65"/>
      <c r="AI19" s="65"/>
      <c r="AJ19" s="65"/>
      <c r="AK19" s="71"/>
      <c r="AL19" s="65"/>
    </row>
    <row r="20" spans="1:38" ht="18.75">
      <c r="A20" s="15">
        <v>-4</v>
      </c>
      <c r="B20" s="31" t="s">
        <v>34</v>
      </c>
      <c r="C20" s="53"/>
      <c r="D20" s="53"/>
      <c r="E20" s="53"/>
      <c r="F20" s="53"/>
      <c r="G20" s="53" t="e">
        <f>((($H$11/16/(2^(1/12)^4))*F20*E20)^2*PI()*(IF(J20="iron",$R$11,IF(J20="brass",$R$12,IF(J20="copper",$R$13)))*(((E20-C20)/2)^2+C20*(E20-C20)/2)+(C20^2*0.25*7.85))/((E20-C20)/2+C20*0.5)^2)/(10^9)</f>
        <v>#DIV/0!</v>
      </c>
      <c r="H20" s="53"/>
      <c r="I20" s="53"/>
      <c r="J20" s="53"/>
      <c r="K20" s="53"/>
      <c r="L20" s="54" t="e">
        <f t="shared" si="0"/>
        <v>#N/A</v>
      </c>
      <c r="M20" s="65"/>
      <c r="N20" s="84"/>
      <c r="O20" s="84"/>
      <c r="P20" s="99">
        <v>15</v>
      </c>
      <c r="Q20" s="100">
        <v>0.875</v>
      </c>
      <c r="R20" s="101">
        <v>1354</v>
      </c>
      <c r="S20" s="99">
        <v>13</v>
      </c>
      <c r="T20" s="100">
        <v>0.775</v>
      </c>
      <c r="U20" s="102">
        <v>862.2040905730303</v>
      </c>
      <c r="V20" s="100">
        <v>13</v>
      </c>
      <c r="W20" s="100">
        <v>0.775</v>
      </c>
      <c r="X20" s="102">
        <v>759.6028651868265</v>
      </c>
      <c r="Y20" s="99">
        <v>11</v>
      </c>
      <c r="Z20" s="74">
        <v>0.675</v>
      </c>
      <c r="AA20" s="102">
        <v>493.8289127131881</v>
      </c>
      <c r="AB20" s="74">
        <v>7</v>
      </c>
      <c r="AC20" s="100">
        <v>0.5</v>
      </c>
      <c r="AD20" s="102">
        <v>237.99988099999996</v>
      </c>
      <c r="AE20" s="65"/>
      <c r="AF20" s="65"/>
      <c r="AG20" s="93"/>
      <c r="AH20" s="65"/>
      <c r="AI20" s="65"/>
      <c r="AJ20" s="65"/>
      <c r="AK20" s="71"/>
      <c r="AL20" s="65"/>
    </row>
    <row r="21" spans="1:38" ht="18.75">
      <c r="A21" s="15">
        <v>-3</v>
      </c>
      <c r="B21" s="31" t="s">
        <v>35</v>
      </c>
      <c r="C21" s="53"/>
      <c r="D21" s="53"/>
      <c r="E21" s="53"/>
      <c r="F21" s="53"/>
      <c r="G21" s="53" t="e">
        <f>((($H$11/16/(2^(1/12)^3))*F21*E21)^2*PI()*(IF(J21="iron",$R$11,IF(J21="brass",$R$12,IF(J21="copper",$R$13)))*(((E21-C21)/2)^2+C21*(E21-C21)/2)+(C21^2*0.25*7.85))/((E21-C21)/2+C21*0.5)^2)/(10^9)</f>
        <v>#DIV/0!</v>
      </c>
      <c r="H21" s="53"/>
      <c r="I21" s="53"/>
      <c r="J21" s="53"/>
      <c r="K21" s="53"/>
      <c r="L21" s="54" t="e">
        <f t="shared" si="0"/>
        <v>#N/A</v>
      </c>
      <c r="M21" s="65"/>
      <c r="N21" s="84"/>
      <c r="O21" s="84"/>
      <c r="P21" s="99">
        <v>15.5</v>
      </c>
      <c r="Q21" s="100">
        <v>0.9</v>
      </c>
      <c r="R21" s="101">
        <v>1384</v>
      </c>
      <c r="S21" s="99">
        <v>13.5</v>
      </c>
      <c r="T21" s="100">
        <v>0.8</v>
      </c>
      <c r="U21" s="102">
        <v>914.9574444314914</v>
      </c>
      <c r="V21" s="100">
        <v>13.5</v>
      </c>
      <c r="W21" s="100">
        <v>0.8</v>
      </c>
      <c r="X21" s="102">
        <v>803.368073375982</v>
      </c>
      <c r="Y21" s="99">
        <v>11.5</v>
      </c>
      <c r="Z21" s="74">
        <v>0.7</v>
      </c>
      <c r="AA21" s="102">
        <v>525.3135615883832</v>
      </c>
      <c r="AB21" s="99">
        <v>8</v>
      </c>
      <c r="AC21" s="100">
        <v>0.525</v>
      </c>
      <c r="AD21" s="102">
        <v>260.99986949999993</v>
      </c>
      <c r="AE21" s="65"/>
      <c r="AF21" s="65"/>
      <c r="AG21" s="93"/>
      <c r="AH21" s="65"/>
      <c r="AI21" s="65"/>
      <c r="AJ21" s="65"/>
      <c r="AK21" s="71"/>
      <c r="AL21" s="65"/>
    </row>
    <row r="22" spans="1:38" ht="18.75">
      <c r="A22" s="15">
        <v>-2</v>
      </c>
      <c r="B22" s="31" t="s">
        <v>36</v>
      </c>
      <c r="C22" s="53"/>
      <c r="D22" s="53"/>
      <c r="E22" s="53"/>
      <c r="F22" s="53"/>
      <c r="G22" s="53" t="e">
        <f>((($H$11/16/(2^(1/12)^2))*F22*E22)^2*PI()*(IF(J22="iron",$R$11,IF(J22="brass",$R$12,IF(J22="copper",$R$13)))*(((E22-C22)/2)^2+C22*(E22-C22)/2)+(C22^2*0.25*7.85))/((E22-C22)/2+C22*0.5)^2)/(10^9)</f>
        <v>#DIV/0!</v>
      </c>
      <c r="H22" s="53"/>
      <c r="I22" s="53"/>
      <c r="J22" s="53"/>
      <c r="K22" s="53"/>
      <c r="L22" s="54" t="e">
        <f>100/(IF($K22="XM",VLOOKUP(C22,$Q$16:$R$33,2),IF($K22="M",VLOOKUP(C22,$T$16:$U$47,2),IF($K22=0,VLOOKUP(C22,$W$16:$X$47,2),IF($K22=1,VLOOKUP(C22,$Z$16:$AA$50,2),IF($K22=2,VLOOKUP(C22,$AC$16:$AD$53,2)))))))*G22</f>
        <v>#N/A</v>
      </c>
      <c r="M22" s="65"/>
      <c r="N22" s="84"/>
      <c r="O22" s="84"/>
      <c r="P22" s="99">
        <v>16</v>
      </c>
      <c r="Q22" s="100">
        <v>0.925</v>
      </c>
      <c r="R22" s="101">
        <v>1421.5705346231491</v>
      </c>
      <c r="S22" s="99">
        <v>14</v>
      </c>
      <c r="T22" s="100">
        <v>0.825</v>
      </c>
      <c r="U22" s="102">
        <v>969.2270462599299</v>
      </c>
      <c r="V22" s="100">
        <v>14</v>
      </c>
      <c r="W22" s="100">
        <v>0.825</v>
      </c>
      <c r="X22" s="102">
        <v>847.9483775965881</v>
      </c>
      <c r="Y22" s="99">
        <v>12</v>
      </c>
      <c r="Z22" s="74">
        <v>0.725</v>
      </c>
      <c r="AA22" s="102">
        <v>557.3136280083081</v>
      </c>
      <c r="AB22" s="99">
        <v>8.5</v>
      </c>
      <c r="AC22" s="100">
        <v>0.55</v>
      </c>
      <c r="AD22" s="102">
        <v>282.99985849999996</v>
      </c>
      <c r="AE22" s="65"/>
      <c r="AF22" s="65"/>
      <c r="AG22" s="93"/>
      <c r="AH22" s="65"/>
      <c r="AI22" s="65"/>
      <c r="AJ22" s="65"/>
      <c r="AK22" s="71"/>
      <c r="AL22" s="65"/>
    </row>
    <row r="23" spans="1:38" ht="18.75">
      <c r="A23" s="15">
        <v>-1</v>
      </c>
      <c r="B23" s="31" t="s">
        <v>37</v>
      </c>
      <c r="C23" s="53"/>
      <c r="D23" s="53"/>
      <c r="E23" s="53"/>
      <c r="F23" s="53"/>
      <c r="G23" s="53" t="e">
        <f>((($H$11/16/(2^(1/12)))*F23*E23)^2*PI()*(IF(J23="iron",$R$11,IF(J23="brass",$R$12,IF(J23="copper",$R$13)))*(((E23-C23)/2)^2+C23*(E23-C23)/2)+(C23^2*0.25*7.85))/((E23-C23)/2+C23*0.5)^2)/(10^9)</f>
        <v>#DIV/0!</v>
      </c>
      <c r="H23" s="53"/>
      <c r="I23" s="53"/>
      <c r="J23" s="53"/>
      <c r="K23" s="53"/>
      <c r="L23" s="54" t="e">
        <f t="shared" si="0"/>
        <v>#N/A</v>
      </c>
      <c r="M23" s="65"/>
      <c r="N23" s="84"/>
      <c r="O23" s="84"/>
      <c r="P23" s="99">
        <v>16.5</v>
      </c>
      <c r="Q23" s="100">
        <v>0.95</v>
      </c>
      <c r="R23" s="101">
        <v>1514.4155869750916</v>
      </c>
      <c r="S23" s="99">
        <v>14.5</v>
      </c>
      <c r="T23" s="100">
        <v>0.85</v>
      </c>
      <c r="U23" s="102">
        <v>1020.7719300536947</v>
      </c>
      <c r="V23" s="100">
        <v>14.5</v>
      </c>
      <c r="W23" s="100">
        <v>0.85</v>
      </c>
      <c r="X23" s="102">
        <v>893.3084349312926</v>
      </c>
      <c r="Y23" s="99">
        <v>12.5</v>
      </c>
      <c r="Z23" s="74">
        <v>0.75</v>
      </c>
      <c r="AA23" s="102">
        <v>589.7849333262714</v>
      </c>
      <c r="AB23" s="99">
        <v>9</v>
      </c>
      <c r="AC23" s="100">
        <v>0.575</v>
      </c>
      <c r="AD23" s="102">
        <v>306.9998465</v>
      </c>
      <c r="AE23" s="65"/>
      <c r="AF23" s="65"/>
      <c r="AG23" s="93"/>
      <c r="AH23" s="65"/>
      <c r="AI23" s="65"/>
      <c r="AJ23" s="65"/>
      <c r="AK23" s="71"/>
      <c r="AL23" s="65"/>
    </row>
    <row r="24" spans="1:38" ht="18.75">
      <c r="A24" s="7">
        <v>1</v>
      </c>
      <c r="B24" s="32" t="s">
        <v>38</v>
      </c>
      <c r="C24" s="40"/>
      <c r="D24" s="39"/>
      <c r="E24" s="41"/>
      <c r="F24" s="42"/>
      <c r="G24" s="57" t="e">
        <f>((($H$11/16)*F24*E24)^2*PI()*(IF(J24="iron",$R$11,IF(J24="brass",$R$12,IF(J24="copper",$R$13)))*(((E24-C24)/2)^2+C24*(E24-C24)/2)+(C24^2*0.25*7.85))/((E24-C24)/2+C24*0.5)^2)/(10^9)</f>
        <v>#DIV/0!</v>
      </c>
      <c r="H24" s="58">
        <v>1</v>
      </c>
      <c r="I24" s="59" t="e">
        <f>G24*H24</f>
        <v>#DIV/0!</v>
      </c>
      <c r="J24" s="37" t="s">
        <v>131</v>
      </c>
      <c r="K24" s="38" t="s">
        <v>13</v>
      </c>
      <c r="L24" s="19" t="e">
        <f t="shared" si="0"/>
        <v>#N/A</v>
      </c>
      <c r="M24" s="65"/>
      <c r="N24" s="84"/>
      <c r="O24" s="84"/>
      <c r="P24" s="99">
        <v>17</v>
      </c>
      <c r="Q24" s="100">
        <v>0.975</v>
      </c>
      <c r="R24" s="102">
        <v>1582</v>
      </c>
      <c r="S24" s="99">
        <v>15</v>
      </c>
      <c r="T24" s="100">
        <v>0.875</v>
      </c>
      <c r="U24" s="102">
        <v>1077.190454888267</v>
      </c>
      <c r="V24" s="100">
        <v>15</v>
      </c>
      <c r="W24" s="100">
        <v>0.875</v>
      </c>
      <c r="X24" s="102">
        <v>939.4129024627423</v>
      </c>
      <c r="Y24" s="99">
        <v>13</v>
      </c>
      <c r="Z24" s="74">
        <v>0.775</v>
      </c>
      <c r="AA24" s="102">
        <v>622.6832988955821</v>
      </c>
      <c r="AB24" s="99">
        <v>9.5</v>
      </c>
      <c r="AC24" s="100">
        <v>0.6</v>
      </c>
      <c r="AD24" s="102">
        <v>330.99983449999996</v>
      </c>
      <c r="AE24" s="65"/>
      <c r="AF24" s="65"/>
      <c r="AG24" s="93"/>
      <c r="AH24" s="65"/>
      <c r="AI24" s="65"/>
      <c r="AJ24" s="65"/>
      <c r="AK24" s="71"/>
      <c r="AL24" s="65"/>
    </row>
    <row r="25" spans="1:38" ht="18.75">
      <c r="A25" s="7">
        <v>2</v>
      </c>
      <c r="B25" s="33" t="s">
        <v>39</v>
      </c>
      <c r="C25" s="40"/>
      <c r="D25" s="39"/>
      <c r="E25" s="41"/>
      <c r="F25" s="42"/>
      <c r="G25" s="57" t="e">
        <f>(((2^(1/12)*$H$11/16)*F25*E25)^2*PI()*(IF(J25="iron",$R$11,IF(J25="brass",$R$12,IF(J25="copper",$R$13)))*(((E25-C25)/2)^2+C25*(E25-C25)/2)+(C25^2*0.25*7.85))/((E25-C25)/2+C25*0.5)^2)/(10^9)</f>
        <v>#DIV/0!</v>
      </c>
      <c r="H25" s="58">
        <v>1</v>
      </c>
      <c r="I25" s="59" t="e">
        <f>G25*H25</f>
        <v>#DIV/0!</v>
      </c>
      <c r="J25" s="37" t="s">
        <v>131</v>
      </c>
      <c r="K25" s="38" t="s">
        <v>13</v>
      </c>
      <c r="L25" s="19" t="e">
        <f t="shared" si="0"/>
        <v>#N/A</v>
      </c>
      <c r="M25" s="65"/>
      <c r="N25" s="84"/>
      <c r="O25" s="84"/>
      <c r="P25" s="99">
        <v>17.5</v>
      </c>
      <c r="Q25" s="100">
        <v>1</v>
      </c>
      <c r="R25" s="102">
        <v>1649</v>
      </c>
      <c r="S25" s="99">
        <v>15.5</v>
      </c>
      <c r="T25" s="100">
        <v>0.9</v>
      </c>
      <c r="U25" s="102">
        <v>1134.8522404718046</v>
      </c>
      <c r="V25" s="100">
        <v>15.5</v>
      </c>
      <c r="W25" s="100">
        <v>0.9</v>
      </c>
      <c r="X25" s="102">
        <v>986.2264372735845</v>
      </c>
      <c r="Y25" s="99">
        <v>13.5</v>
      </c>
      <c r="Z25" s="74">
        <v>0.8</v>
      </c>
      <c r="AA25" s="102">
        <v>655.9645460695489</v>
      </c>
      <c r="AB25" s="99">
        <v>10</v>
      </c>
      <c r="AC25" s="100">
        <v>0.625</v>
      </c>
      <c r="AD25" s="102">
        <v>355.99982199999994</v>
      </c>
      <c r="AE25" s="65"/>
      <c r="AF25" s="65"/>
      <c r="AG25" s="93"/>
      <c r="AH25" s="65"/>
      <c r="AI25" s="65"/>
      <c r="AJ25" s="65"/>
      <c r="AK25" s="71"/>
      <c r="AL25" s="65"/>
    </row>
    <row r="26" spans="1:38" ht="18.75">
      <c r="A26" s="7">
        <v>3</v>
      </c>
      <c r="B26" s="34" t="s">
        <v>40</v>
      </c>
      <c r="C26" s="40"/>
      <c r="D26" s="39"/>
      <c r="E26" s="41"/>
      <c r="F26" s="42"/>
      <c r="G26" s="57" t="e">
        <f>(((2^(1/12)^2*$H$11/16)*F26*E26)^2*PI()*(IF(J26="iron",$R$11,IF(J26="brass",$R$12,IF(J26="copper",$R$13)))*(((E26-C26)/2)^2+C26*(E26-C26)/2)+(C26^2*0.25*7.85))/((E26-C26)/2+C26*0.5)^2)/(10^9)</f>
        <v>#DIV/0!</v>
      </c>
      <c r="H26" s="58">
        <v>1</v>
      </c>
      <c r="I26" s="59" t="e">
        <f aca="true" t="shared" si="1" ref="I26:I89">G26*H26</f>
        <v>#DIV/0!</v>
      </c>
      <c r="J26" s="37" t="s">
        <v>131</v>
      </c>
      <c r="K26" s="38" t="s">
        <v>13</v>
      </c>
      <c r="L26" s="19" t="e">
        <f t="shared" si="0"/>
        <v>#N/A</v>
      </c>
      <c r="M26" s="65"/>
      <c r="N26" s="93"/>
      <c r="O26" s="93"/>
      <c r="P26" s="99">
        <v>18</v>
      </c>
      <c r="Q26" s="100">
        <v>1.025</v>
      </c>
      <c r="R26" s="102">
        <v>1717</v>
      </c>
      <c r="S26" s="99">
        <v>16</v>
      </c>
      <c r="T26" s="100">
        <v>0.925</v>
      </c>
      <c r="U26" s="102">
        <v>1193.9871998447964</v>
      </c>
      <c r="V26" s="100">
        <v>16</v>
      </c>
      <c r="W26" s="100">
        <v>0.925</v>
      </c>
      <c r="X26" s="102">
        <v>1033.7136964464657</v>
      </c>
      <c r="Y26" s="99">
        <v>14</v>
      </c>
      <c r="Z26" s="74">
        <v>0.825</v>
      </c>
      <c r="AA26" s="102">
        <v>689.5844962014806</v>
      </c>
      <c r="AB26" s="99">
        <v>10.5</v>
      </c>
      <c r="AC26" s="100">
        <v>0.65</v>
      </c>
      <c r="AD26" s="102">
        <v>380.9998094999999</v>
      </c>
      <c r="AE26" s="65"/>
      <c r="AF26" s="65"/>
      <c r="AG26" s="93"/>
      <c r="AH26" s="65"/>
      <c r="AI26" s="65"/>
      <c r="AJ26" s="65"/>
      <c r="AK26" s="71"/>
      <c r="AL26" s="65"/>
    </row>
    <row r="27" spans="1:38" ht="18.75">
      <c r="A27" s="7">
        <v>4</v>
      </c>
      <c r="B27" s="34" t="s">
        <v>41</v>
      </c>
      <c r="C27" s="40"/>
      <c r="D27" s="39"/>
      <c r="E27" s="41"/>
      <c r="F27" s="42"/>
      <c r="G27" s="57" t="e">
        <f>(((2^(1/12)^3*$H$11/16)*F27*E27)^2*PI()*(IF(J27="iron",$R$11,IF(J27="brass",$R$12,IF(J27="copper",$R$13)))*(((E27-C27)/2)^2+C27*(E27-C27)/2)+(C27^2*0.25*7.85))/((E27-C27)/2+C27*0.5)^2)/(10^9)</f>
        <v>#DIV/0!</v>
      </c>
      <c r="H27" s="58">
        <v>1</v>
      </c>
      <c r="I27" s="59" t="e">
        <f t="shared" si="1"/>
        <v>#DIV/0!</v>
      </c>
      <c r="J27" s="37" t="s">
        <v>131</v>
      </c>
      <c r="K27" s="38" t="s">
        <v>13</v>
      </c>
      <c r="L27" s="19" t="e">
        <f t="shared" si="0"/>
        <v>#N/A</v>
      </c>
      <c r="M27" s="65"/>
      <c r="N27" s="93"/>
      <c r="O27" s="93"/>
      <c r="P27" s="99">
        <v>18.5</v>
      </c>
      <c r="Q27" s="100">
        <v>1.05</v>
      </c>
      <c r="R27" s="102">
        <v>1786</v>
      </c>
      <c r="S27" s="99">
        <v>16.5</v>
      </c>
      <c r="T27" s="100">
        <v>0.95</v>
      </c>
      <c r="U27" s="102">
        <v>1256.7411266925674</v>
      </c>
      <c r="V27" s="100">
        <v>16.5</v>
      </c>
      <c r="W27" s="100">
        <v>0.95</v>
      </c>
      <c r="X27" s="102">
        <v>1081.8393370640333</v>
      </c>
      <c r="Y27" s="99">
        <v>14.5</v>
      </c>
      <c r="Z27" s="74">
        <v>0.85</v>
      </c>
      <c r="AA27" s="102">
        <v>723.4989706446868</v>
      </c>
      <c r="AB27" s="99">
        <v>11</v>
      </c>
      <c r="AC27" s="100">
        <v>0.675</v>
      </c>
      <c r="AD27" s="102">
        <v>406.99979649999995</v>
      </c>
      <c r="AE27" s="65"/>
      <c r="AF27" s="65"/>
      <c r="AG27" s="93"/>
      <c r="AH27" s="65"/>
      <c r="AI27" s="65"/>
      <c r="AJ27" s="65"/>
      <c r="AK27" s="71"/>
      <c r="AL27" s="65"/>
    </row>
    <row r="28" spans="1:38" ht="18.75">
      <c r="A28" s="7">
        <v>5</v>
      </c>
      <c r="B28" s="34" t="s">
        <v>42</v>
      </c>
      <c r="C28" s="40"/>
      <c r="D28" s="39"/>
      <c r="E28" s="41"/>
      <c r="F28" s="42"/>
      <c r="G28" s="57" t="e">
        <f>(((2^(1/12)^4*$H$11/16)*F28*E28)^2*PI()*(IF(J28="iron",$R$11,IF(J28="brass",$R$12,IF(J28="copper",$R$13)))*(((E28-C28)/2)^2+C28*(E28-C28)/2)+(C28^2*0.25*7.85))/((E28-C28)/2+C28*0.5)^2)/(10^9)</f>
        <v>#DIV/0!</v>
      </c>
      <c r="H28" s="58">
        <v>1</v>
      </c>
      <c r="I28" s="59" t="e">
        <f t="shared" si="1"/>
        <v>#DIV/0!</v>
      </c>
      <c r="J28" s="37" t="s">
        <v>131</v>
      </c>
      <c r="K28" s="38" t="s">
        <v>13</v>
      </c>
      <c r="L28" s="19" t="e">
        <f t="shared" si="0"/>
        <v>#N/A</v>
      </c>
      <c r="M28" s="65"/>
      <c r="N28" s="84"/>
      <c r="O28" s="84"/>
      <c r="P28" s="99">
        <v>19</v>
      </c>
      <c r="Q28" s="100">
        <v>1.075</v>
      </c>
      <c r="R28" s="102">
        <v>1855</v>
      </c>
      <c r="S28" s="99">
        <v>17</v>
      </c>
      <c r="T28" s="100">
        <v>0.975</v>
      </c>
      <c r="U28" s="102">
        <v>1315.636232829565</v>
      </c>
      <c r="V28" s="100">
        <v>17</v>
      </c>
      <c r="W28" s="100">
        <v>0.975</v>
      </c>
      <c r="X28" s="102">
        <v>1130.5680162089345</v>
      </c>
      <c r="Y28" s="99">
        <v>15</v>
      </c>
      <c r="Z28" s="74">
        <v>0.875</v>
      </c>
      <c r="AA28" s="102">
        <v>757.6637907524758</v>
      </c>
      <c r="AB28" s="99">
        <v>11.5</v>
      </c>
      <c r="AC28" s="100">
        <v>0.7</v>
      </c>
      <c r="AD28" s="102">
        <v>432.9997835</v>
      </c>
      <c r="AE28" s="65"/>
      <c r="AF28" s="65"/>
      <c r="AG28" s="93"/>
      <c r="AH28" s="65"/>
      <c r="AI28" s="65"/>
      <c r="AJ28" s="65"/>
      <c r="AK28" s="71"/>
      <c r="AL28" s="65"/>
    </row>
    <row r="29" spans="1:38" ht="18.75">
      <c r="A29" s="7">
        <v>6</v>
      </c>
      <c r="B29" s="34" t="s">
        <v>43</v>
      </c>
      <c r="C29" s="40"/>
      <c r="D29" s="39"/>
      <c r="E29" s="41"/>
      <c r="F29" s="42"/>
      <c r="G29" s="57" t="e">
        <f>(((2^(1/12)^5*$H$11/16)*F29*E29)^2*PI()*(IF(J29="iron",$R$11,IF(J29="brass",$R$12,IF(J29="copper",$R$13)))*(((E29-C29)/2)^2+C29*(E29-C29)/2)+(C29^2*0.25*7.85))/((E29-C29)/2+C29*0.5)^2)/(10^9)</f>
        <v>#DIV/0!</v>
      </c>
      <c r="H29" s="58">
        <v>1</v>
      </c>
      <c r="I29" s="59" t="e">
        <f t="shared" si="1"/>
        <v>#DIV/0!</v>
      </c>
      <c r="J29" s="37" t="s">
        <v>131</v>
      </c>
      <c r="K29" s="38" t="s">
        <v>13</v>
      </c>
      <c r="L29" s="19" t="e">
        <f t="shared" si="0"/>
        <v>#N/A</v>
      </c>
      <c r="M29" s="65"/>
      <c r="N29" s="84"/>
      <c r="O29" s="84"/>
      <c r="P29" s="99">
        <v>19.5</v>
      </c>
      <c r="Q29" s="100">
        <v>1.1</v>
      </c>
      <c r="R29" s="102">
        <v>1924</v>
      </c>
      <c r="S29" s="99">
        <v>17.5</v>
      </c>
      <c r="T29" s="100">
        <v>1</v>
      </c>
      <c r="U29" s="102">
        <v>1378.0792524512476</v>
      </c>
      <c r="V29" s="100">
        <v>17.5</v>
      </c>
      <c r="W29" s="100">
        <v>1</v>
      </c>
      <c r="X29" s="102">
        <v>1179.8643909638167</v>
      </c>
      <c r="Y29" s="99">
        <v>15.5</v>
      </c>
      <c r="Z29" s="74">
        <v>0.9</v>
      </c>
      <c r="AA29" s="102">
        <v>792.0347778781568</v>
      </c>
      <c r="AB29" s="99">
        <v>12</v>
      </c>
      <c r="AC29" s="100">
        <v>0.725</v>
      </c>
      <c r="AD29" s="102">
        <v>459.99976999999996</v>
      </c>
      <c r="AE29" s="65"/>
      <c r="AF29" s="65"/>
      <c r="AG29" s="93"/>
      <c r="AH29" s="65"/>
      <c r="AI29" s="65"/>
      <c r="AJ29" s="65"/>
      <c r="AK29" s="71"/>
      <c r="AL29" s="65"/>
    </row>
    <row r="30" spans="1:38" ht="18.75">
      <c r="A30" s="7">
        <v>7</v>
      </c>
      <c r="B30" s="34" t="s">
        <v>44</v>
      </c>
      <c r="C30" s="43"/>
      <c r="D30" s="44"/>
      <c r="E30" s="41"/>
      <c r="F30" s="42"/>
      <c r="G30" s="57" t="e">
        <f>(((2^(1/12)^6*$H$11/16)*F30*E30)^2*PI()*(IF(J30="iron",$R$11,IF(J30="brass",$R$12,IF(J30="copper",$R$13)))*(((E30-C30)/2)^2+C30*(E30-C30)/2)+(C30^2*0.25*7.85))/((E30-C30)/2+C30*0.5)^2)/(10^9)</f>
        <v>#DIV/0!</v>
      </c>
      <c r="H30" s="58">
        <v>1</v>
      </c>
      <c r="I30" s="60" t="e">
        <f t="shared" si="1"/>
        <v>#DIV/0!</v>
      </c>
      <c r="J30" s="37" t="s">
        <v>131</v>
      </c>
      <c r="K30" s="38" t="s">
        <v>13</v>
      </c>
      <c r="L30" s="19" t="e">
        <f t="shared" si="0"/>
        <v>#N/A</v>
      </c>
      <c r="M30" s="65"/>
      <c r="N30" s="93"/>
      <c r="O30" s="93"/>
      <c r="P30" s="99">
        <v>20</v>
      </c>
      <c r="Q30" s="100">
        <v>1.125</v>
      </c>
      <c r="R30" s="102">
        <v>1994</v>
      </c>
      <c r="S30" s="99">
        <v>18</v>
      </c>
      <c r="T30" s="100">
        <v>1.025</v>
      </c>
      <c r="U30" s="102">
        <v>1441.655822515946</v>
      </c>
      <c r="V30" s="100">
        <v>18</v>
      </c>
      <c r="W30" s="100">
        <v>1.025</v>
      </c>
      <c r="X30" s="102">
        <v>1229.6931184113264</v>
      </c>
      <c r="Y30" s="99">
        <v>16</v>
      </c>
      <c r="Z30" s="74">
        <v>0.925</v>
      </c>
      <c r="AA30" s="102">
        <v>826.5677533750385</v>
      </c>
      <c r="AB30" s="99">
        <v>12.5</v>
      </c>
      <c r="AC30" s="100">
        <v>0.75</v>
      </c>
      <c r="AD30" s="102">
        <v>487.99975599999993</v>
      </c>
      <c r="AE30" s="65"/>
      <c r="AF30" s="65"/>
      <c r="AG30" s="93"/>
      <c r="AH30" s="65"/>
      <c r="AI30" s="65"/>
      <c r="AJ30" s="65"/>
      <c r="AK30" s="71"/>
      <c r="AL30" s="65"/>
    </row>
    <row r="31" spans="1:38" ht="18.75">
      <c r="A31" s="7">
        <v>8</v>
      </c>
      <c r="B31" s="34" t="s">
        <v>45</v>
      </c>
      <c r="C31" s="43"/>
      <c r="D31" s="39"/>
      <c r="E31" s="45"/>
      <c r="F31" s="42"/>
      <c r="G31" s="57" t="e">
        <f>(((2^(1/12)^7*$H$11/16)*F31*E31)^2*PI()*(IF(J31="iron",$R$11,IF(J31="brass",$R$12,IF(J31="copper",$R$13)))*(((E31-C31)/2)^2+C31*(E31-C31)/2)+(C31^2*0.25*7.85))/((E31-C31)/2+C31*0.5)^2)/(10^9)</f>
        <v>#DIV/0!</v>
      </c>
      <c r="H31" s="58">
        <v>2</v>
      </c>
      <c r="I31" s="59" t="e">
        <f t="shared" si="1"/>
        <v>#DIV/0!</v>
      </c>
      <c r="J31" s="37" t="s">
        <v>131</v>
      </c>
      <c r="K31" s="38" t="s">
        <v>13</v>
      </c>
      <c r="L31" s="19" t="e">
        <f t="shared" si="0"/>
        <v>#N/A</v>
      </c>
      <c r="M31" s="65"/>
      <c r="N31" s="84"/>
      <c r="O31" s="84"/>
      <c r="P31" s="99">
        <v>20.5</v>
      </c>
      <c r="Q31" s="100">
        <v>1.15</v>
      </c>
      <c r="R31" s="102">
        <v>2064</v>
      </c>
      <c r="S31" s="99">
        <v>18.5</v>
      </c>
      <c r="T31" s="100">
        <v>1.05</v>
      </c>
      <c r="U31" s="102">
        <v>1506.6685667534948</v>
      </c>
      <c r="V31" s="100">
        <v>18.5</v>
      </c>
      <c r="W31" s="100">
        <v>1.05</v>
      </c>
      <c r="X31" s="102">
        <v>1280.0188556341113</v>
      </c>
      <c r="Y31" s="99">
        <v>16.5</v>
      </c>
      <c r="Z31" s="74">
        <v>0.95</v>
      </c>
      <c r="AA31" s="102">
        <v>861.2185385964294</v>
      </c>
      <c r="AB31" s="99">
        <v>13</v>
      </c>
      <c r="AC31" s="100">
        <v>0.775</v>
      </c>
      <c r="AD31" s="102">
        <v>515.999742</v>
      </c>
      <c r="AE31" s="65"/>
      <c r="AF31" s="65"/>
      <c r="AG31" s="93"/>
      <c r="AH31" s="65"/>
      <c r="AI31" s="65"/>
      <c r="AJ31" s="65"/>
      <c r="AK31" s="71"/>
      <c r="AL31" s="65"/>
    </row>
    <row r="32" spans="1:38" ht="18.75">
      <c r="A32" s="7">
        <v>9</v>
      </c>
      <c r="B32" s="34" t="s">
        <v>46</v>
      </c>
      <c r="C32" s="43"/>
      <c r="D32" s="39"/>
      <c r="E32" s="45"/>
      <c r="F32" s="42"/>
      <c r="G32" s="57" t="e">
        <f>(((2^(1/12)^8*$H$11/16)*F32*E32)^2*PI()*(IF(J32="iron",$R$11,IF(J32="brass",$R$12,IF(J32="copper",$R$13)))*(((E32-C32)/2)^2+C32*(E32-C32)/2)+(C32^2*0.25*7.85))/((E32-C32)/2+C32*0.5)^2)/(10^9)</f>
        <v>#DIV/0!</v>
      </c>
      <c r="H32" s="58">
        <v>2</v>
      </c>
      <c r="I32" s="59" t="e">
        <f t="shared" si="1"/>
        <v>#DIV/0!</v>
      </c>
      <c r="J32" s="37" t="s">
        <v>131</v>
      </c>
      <c r="K32" s="38" t="s">
        <v>13</v>
      </c>
      <c r="L32" s="19" t="e">
        <f t="shared" si="0"/>
        <v>#N/A</v>
      </c>
      <c r="M32" s="65"/>
      <c r="N32" s="93"/>
      <c r="O32" s="93"/>
      <c r="P32" s="99">
        <v>21</v>
      </c>
      <c r="Q32" s="100">
        <v>1.175</v>
      </c>
      <c r="R32" s="102">
        <v>2135</v>
      </c>
      <c r="S32" s="99">
        <v>19</v>
      </c>
      <c r="T32" s="100">
        <v>1.075</v>
      </c>
      <c r="U32" s="102">
        <v>1572.8019759954411</v>
      </c>
      <c r="V32" s="100">
        <v>19</v>
      </c>
      <c r="W32" s="100">
        <v>1.075</v>
      </c>
      <c r="X32" s="102">
        <v>1330.8062597148182</v>
      </c>
      <c r="Y32" s="99">
        <v>17</v>
      </c>
      <c r="Z32" s="74">
        <v>0.975</v>
      </c>
      <c r="AA32" s="102">
        <v>895.9429548956391</v>
      </c>
      <c r="AB32" s="99">
        <v>13.5</v>
      </c>
      <c r="AC32" s="100">
        <v>0.8</v>
      </c>
      <c r="AD32" s="102">
        <v>543.9997279999999</v>
      </c>
      <c r="AE32" s="65"/>
      <c r="AF32" s="65"/>
      <c r="AG32" s="93"/>
      <c r="AH32" s="65"/>
      <c r="AI32" s="65"/>
      <c r="AJ32" s="65"/>
      <c r="AK32" s="71"/>
      <c r="AL32" s="65"/>
    </row>
    <row r="33" spans="1:38" ht="18.75">
      <c r="A33" s="7">
        <v>10</v>
      </c>
      <c r="B33" s="34" t="s">
        <v>47</v>
      </c>
      <c r="C33" s="43"/>
      <c r="D33" s="39"/>
      <c r="E33" s="45"/>
      <c r="F33" s="42"/>
      <c r="G33" s="57" t="e">
        <f>(((2^(1/12)^9*$H$11/16)*F33*E33)^2*PI()*(IF(J33="iron",$R$11,IF(J33="brass",$R$12,IF(J33="copper",$R$13)))*(((E33-C33)/2)^2+C33*(E33-C33)/2)+(C33^2*0.25*7.85))/((E33-C33)/2+C33*0.5)^2)/(10^9)</f>
        <v>#DIV/0!</v>
      </c>
      <c r="H33" s="58">
        <v>2</v>
      </c>
      <c r="I33" s="59" t="e">
        <f t="shared" si="1"/>
        <v>#DIV/0!</v>
      </c>
      <c r="J33" s="37" t="s">
        <v>131</v>
      </c>
      <c r="K33" s="38" t="s">
        <v>13</v>
      </c>
      <c r="L33" s="19" t="e">
        <f t="shared" si="0"/>
        <v>#N/A</v>
      </c>
      <c r="M33" s="65"/>
      <c r="N33" s="107"/>
      <c r="O33" s="73"/>
      <c r="P33" s="99">
        <v>21.5</v>
      </c>
      <c r="Q33" s="100">
        <v>1.2</v>
      </c>
      <c r="R33" s="102">
        <v>2205</v>
      </c>
      <c r="S33" s="99">
        <v>19.5</v>
      </c>
      <c r="T33" s="100">
        <v>1.1</v>
      </c>
      <c r="U33" s="102">
        <v>1646.8061793007976</v>
      </c>
      <c r="V33" s="100">
        <v>19.5</v>
      </c>
      <c r="W33" s="100">
        <v>1.1</v>
      </c>
      <c r="X33" s="102">
        <v>1382.0199877360947</v>
      </c>
      <c r="Y33" s="99">
        <v>17.5</v>
      </c>
      <c r="Z33" s="74">
        <v>1</v>
      </c>
      <c r="AA33" s="102">
        <v>930.6968236259762</v>
      </c>
      <c r="AB33" s="99">
        <v>14</v>
      </c>
      <c r="AC33" s="100">
        <v>0.825</v>
      </c>
      <c r="AD33" s="102">
        <v>572.9997135</v>
      </c>
      <c r="AE33" s="65"/>
      <c r="AF33" s="65"/>
      <c r="AG33" s="108"/>
      <c r="AH33" s="65"/>
      <c r="AI33" s="65"/>
      <c r="AJ33" s="65"/>
      <c r="AK33" s="71"/>
      <c r="AL33" s="65"/>
    </row>
    <row r="34" spans="1:38" ht="18.75">
      <c r="A34" s="7">
        <v>11</v>
      </c>
      <c r="B34" s="34" t="s">
        <v>48</v>
      </c>
      <c r="C34" s="43"/>
      <c r="D34" s="39"/>
      <c r="E34" s="45"/>
      <c r="F34" s="42"/>
      <c r="G34" s="57" t="e">
        <f>(((2^(1/12)^10*$H$11/16)*F34*E34)^2*PI()*(IF(J34="iron",$R$11,IF(J34="brass",$R$12,IF(J34="copper",$R$13)))*(((E34-C34)/2)^2+C34*(E34-C34)/2)+(C34^2*0.25*7.85))/((E34-C34)/2+C34*0.5)^2)/(10^9)</f>
        <v>#DIV/0!</v>
      </c>
      <c r="H34" s="58">
        <v>2</v>
      </c>
      <c r="I34" s="59" t="e">
        <f t="shared" si="1"/>
        <v>#DIV/0!</v>
      </c>
      <c r="J34" s="37" t="s">
        <v>131</v>
      </c>
      <c r="K34" s="38" t="s">
        <v>13</v>
      </c>
      <c r="L34" s="19" t="e">
        <f t="shared" si="0"/>
        <v>#N/A</v>
      </c>
      <c r="M34" s="65"/>
      <c r="N34" s="65"/>
      <c r="O34" s="65"/>
      <c r="P34" s="99"/>
      <c r="Q34" s="100"/>
      <c r="R34" s="102"/>
      <c r="S34" s="99">
        <v>20</v>
      </c>
      <c r="T34" s="100">
        <v>1.125</v>
      </c>
      <c r="U34" s="102">
        <v>1715.0564820300258</v>
      </c>
      <c r="V34" s="100">
        <v>20</v>
      </c>
      <c r="W34" s="100">
        <v>1.125</v>
      </c>
      <c r="X34" s="102">
        <v>1433.6246967805866</v>
      </c>
      <c r="Y34" s="99">
        <v>18</v>
      </c>
      <c r="Z34" s="74">
        <v>1.025</v>
      </c>
      <c r="AA34" s="102">
        <v>965.4359661407495</v>
      </c>
      <c r="AB34" s="99">
        <v>14.5</v>
      </c>
      <c r="AC34" s="109">
        <v>0.85</v>
      </c>
      <c r="AD34" s="102">
        <v>600.9996994999999</v>
      </c>
      <c r="AE34" s="65"/>
      <c r="AF34" s="65"/>
      <c r="AG34" s="65"/>
      <c r="AH34" s="65"/>
      <c r="AI34" s="65"/>
      <c r="AJ34" s="65"/>
      <c r="AK34" s="71"/>
      <c r="AL34" s="65"/>
    </row>
    <row r="35" spans="1:38" ht="18.75">
      <c r="A35" s="7">
        <v>12</v>
      </c>
      <c r="B35" s="34" t="s">
        <v>49</v>
      </c>
      <c r="C35" s="43"/>
      <c r="D35" s="39"/>
      <c r="E35" s="45"/>
      <c r="F35" s="42"/>
      <c r="G35" s="57" t="e">
        <f>(((2^(1/12)^11*$H$11/16)*F35*E35)^2*PI()*(IF(J35="iron",$R$11,IF(J35="brass",$R$12,IF(J35="copper",$R$13)))*(((E35-C35)/2)^2+C35*(E35-C35)/2)+(C35^2*0.25*7.85))/((E35-C35)/2+C35*0.5)^2)/(10^9)</f>
        <v>#DIV/0!</v>
      </c>
      <c r="H35" s="58">
        <v>2</v>
      </c>
      <c r="I35" s="59" t="e">
        <f t="shared" si="1"/>
        <v>#DIV/0!</v>
      </c>
      <c r="J35" s="37" t="s">
        <v>131</v>
      </c>
      <c r="K35" s="38" t="s">
        <v>13</v>
      </c>
      <c r="L35" s="19" t="e">
        <f>100/(IF($K35="XM",VLOOKUP(C35,$Q$16:$R$33,2),IF($K35="M",VLOOKUP(C35,$T$16:$U$47,2),IF($K35=0,VLOOKUP(C35,$W$16:$X$47,2),IF($K35=1,VLOOKUP(C35,$Z$16:$AA$50,2),IF($K35=2,VLOOKUP(C35,$AC$16:$AD$53,2)))))))*G35</f>
        <v>#N/A</v>
      </c>
      <c r="M35" s="65"/>
      <c r="N35" s="74"/>
      <c r="O35" s="74"/>
      <c r="P35" s="99"/>
      <c r="Q35" s="100"/>
      <c r="R35" s="102"/>
      <c r="S35" s="99">
        <v>20.5</v>
      </c>
      <c r="T35" s="100">
        <v>1.15</v>
      </c>
      <c r="U35" s="102">
        <v>1792.1281560373006</v>
      </c>
      <c r="V35" s="100">
        <v>20.5</v>
      </c>
      <c r="W35" s="100">
        <v>1.15</v>
      </c>
      <c r="X35" s="102">
        <v>1485.5850439309422</v>
      </c>
      <c r="Y35" s="99">
        <v>18.5</v>
      </c>
      <c r="Z35" s="74">
        <v>1.05</v>
      </c>
      <c r="AA35" s="102">
        <v>1000.1162037932681</v>
      </c>
      <c r="AB35" s="99">
        <v>15</v>
      </c>
      <c r="AC35" s="109">
        <v>0.875</v>
      </c>
      <c r="AD35" s="102">
        <v>630.9996845</v>
      </c>
      <c r="AE35" s="65"/>
      <c r="AF35" s="65"/>
      <c r="AG35" s="110"/>
      <c r="AH35" s="65"/>
      <c r="AI35" s="65"/>
      <c r="AJ35" s="65"/>
      <c r="AK35" s="71"/>
      <c r="AL35" s="65"/>
    </row>
    <row r="36" spans="1:38" ht="18.75">
      <c r="A36" s="7">
        <v>13</v>
      </c>
      <c r="B36" s="35" t="s">
        <v>50</v>
      </c>
      <c r="C36" s="43"/>
      <c r="D36" s="39"/>
      <c r="E36" s="45"/>
      <c r="F36" s="42"/>
      <c r="G36" s="57" t="e">
        <f>(((2^(1/12)^12*$H$11/16)*F36*E36)^2*PI()*(IF(J36="iron",$R$11,IF(J36="brass",$R$12,IF(J36="copper",$R$13)))*(((E36-C36)/2)^2+C36*(E36-C36)/2)+(C36^2*0.25*7.85))/((E36-C36)/2+C36*0.5)^2)/(10^9)</f>
        <v>#DIV/0!</v>
      </c>
      <c r="H36" s="58">
        <v>2</v>
      </c>
      <c r="I36" s="59" t="e">
        <f t="shared" si="1"/>
        <v>#DIV/0!</v>
      </c>
      <c r="J36" s="37" t="s">
        <v>131</v>
      </c>
      <c r="K36" s="38" t="s">
        <v>13</v>
      </c>
      <c r="L36" s="19" t="e">
        <f t="shared" si="0"/>
        <v>#N/A</v>
      </c>
      <c r="M36" s="65"/>
      <c r="N36" s="74"/>
      <c r="O36" s="74"/>
      <c r="P36" s="99"/>
      <c r="Q36" s="100"/>
      <c r="R36" s="102"/>
      <c r="S36" s="99">
        <v>21</v>
      </c>
      <c r="T36" s="100">
        <v>1.175</v>
      </c>
      <c r="U36" s="102">
        <v>1854.6286078996823</v>
      </c>
      <c r="V36" s="100">
        <v>21</v>
      </c>
      <c r="W36" s="100">
        <v>1.175</v>
      </c>
      <c r="X36" s="102">
        <v>1537.865686269809</v>
      </c>
      <c r="Y36" s="99">
        <v>19</v>
      </c>
      <c r="Z36" s="74">
        <v>1.075</v>
      </c>
      <c r="AA36" s="102">
        <v>1034.6933579368406</v>
      </c>
      <c r="AB36" s="99">
        <v>15.5</v>
      </c>
      <c r="AC36" s="109">
        <v>0.9</v>
      </c>
      <c r="AD36" s="102">
        <v>659.9996699999999</v>
      </c>
      <c r="AE36" s="65"/>
      <c r="AF36" s="65"/>
      <c r="AG36" s="110"/>
      <c r="AH36" s="65"/>
      <c r="AI36" s="65"/>
      <c r="AJ36" s="65"/>
      <c r="AK36" s="71"/>
      <c r="AL36" s="65"/>
    </row>
    <row r="37" spans="1:38" ht="18.75">
      <c r="A37" s="7">
        <v>14</v>
      </c>
      <c r="B37" s="34" t="s">
        <v>51</v>
      </c>
      <c r="C37" s="43"/>
      <c r="D37" s="39"/>
      <c r="E37" s="45"/>
      <c r="F37" s="42"/>
      <c r="G37" s="57" t="e">
        <f>(((2^(1/12)^13*$H$11/16)*F37*E37)^2*PI()*(IF(J37="iron",$R$11,IF(J37="brass",$R$12,IF(J37="copper",$R$13)))*(((E37-C37)/2)^2+C37*(E37-C37)/2)+(C37^2*0.25*7.85))/((E37-C37)/2+C37*0.5)^2)/(10^9)</f>
        <v>#DIV/0!</v>
      </c>
      <c r="H37" s="58">
        <v>2</v>
      </c>
      <c r="I37" s="59" t="e">
        <f t="shared" si="1"/>
        <v>#DIV/0!</v>
      </c>
      <c r="J37" s="37" t="s">
        <v>131</v>
      </c>
      <c r="K37" s="38" t="s">
        <v>13</v>
      </c>
      <c r="L37" s="19" t="e">
        <f t="shared" si="0"/>
        <v>#N/A</v>
      </c>
      <c r="M37" s="65"/>
      <c r="N37" s="111"/>
      <c r="O37" s="74"/>
      <c r="P37" s="99"/>
      <c r="Q37" s="100"/>
      <c r="R37" s="102"/>
      <c r="S37" s="99">
        <v>21.5</v>
      </c>
      <c r="T37" s="100">
        <v>1.2</v>
      </c>
      <c r="U37" s="102">
        <v>1934.3885525581113</v>
      </c>
      <c r="V37" s="100">
        <v>21.5</v>
      </c>
      <c r="W37" s="100">
        <v>1.2</v>
      </c>
      <c r="X37" s="102">
        <v>1590.431280879833</v>
      </c>
      <c r="Y37" s="99">
        <v>19.5</v>
      </c>
      <c r="Z37" s="74">
        <v>1.1</v>
      </c>
      <c r="AA37" s="102">
        <v>1069.1232499247767</v>
      </c>
      <c r="AB37" s="99">
        <v>16</v>
      </c>
      <c r="AC37" s="109">
        <v>0.925</v>
      </c>
      <c r="AD37" s="102">
        <v>689.9996550000001</v>
      </c>
      <c r="AE37" s="65"/>
      <c r="AF37" s="65"/>
      <c r="AG37" s="110"/>
      <c r="AH37" s="65"/>
      <c r="AI37" s="65"/>
      <c r="AJ37" s="65"/>
      <c r="AK37" s="71"/>
      <c r="AL37" s="65"/>
    </row>
    <row r="38" spans="1:38" ht="18.75">
      <c r="A38" s="7">
        <v>15</v>
      </c>
      <c r="B38" s="34" t="s">
        <v>52</v>
      </c>
      <c r="C38" s="43"/>
      <c r="D38" s="39"/>
      <c r="E38" s="45"/>
      <c r="F38" s="42"/>
      <c r="G38" s="57" t="e">
        <f>(((2^(1/12)^14*$H$11/16)*F38*E38)^2*PI()*(IF(J38="iron",$R$11,IF(J38="brass",$R$12,IF(J38="copper",$R$13)))*(((E38-C38)/2)^2+C38*(E38-C38)/2)+(C38^2*0.25*7.85))/((E38-C38)/2+C38*0.5)^2)/(10^9)</f>
        <v>#DIV/0!</v>
      </c>
      <c r="H38" s="58">
        <v>2</v>
      </c>
      <c r="I38" s="59" t="e">
        <f t="shared" si="1"/>
        <v>#DIV/0!</v>
      </c>
      <c r="J38" s="37" t="s">
        <v>131</v>
      </c>
      <c r="K38" s="38" t="s">
        <v>13</v>
      </c>
      <c r="L38" s="19" t="e">
        <f t="shared" si="0"/>
        <v>#N/A</v>
      </c>
      <c r="M38" s="65"/>
      <c r="N38" s="65"/>
      <c r="O38" s="65"/>
      <c r="P38" s="99"/>
      <c r="Q38" s="100"/>
      <c r="R38" s="102"/>
      <c r="S38" s="99">
        <v>22</v>
      </c>
      <c r="T38" s="100">
        <v>1.225</v>
      </c>
      <c r="U38" s="102">
        <v>2007.4302135986854</v>
      </c>
      <c r="V38" s="100">
        <v>22</v>
      </c>
      <c r="W38" s="100">
        <v>1.225</v>
      </c>
      <c r="X38" s="102">
        <v>1643.246484843662</v>
      </c>
      <c r="Y38" s="99">
        <v>20</v>
      </c>
      <c r="Z38" s="74">
        <v>1.125</v>
      </c>
      <c r="AA38" s="102">
        <v>1103.3617011103838</v>
      </c>
      <c r="AB38" s="99">
        <v>16.5</v>
      </c>
      <c r="AC38" s="109">
        <v>0.95</v>
      </c>
      <c r="AD38" s="102">
        <v>719.9996399999999</v>
      </c>
      <c r="AE38" s="65"/>
      <c r="AF38" s="65"/>
      <c r="AG38" s="65"/>
      <c r="AH38" s="65"/>
      <c r="AI38" s="65"/>
      <c r="AJ38" s="65"/>
      <c r="AK38" s="71"/>
      <c r="AL38" s="65"/>
    </row>
    <row r="39" spans="1:38" ht="18.75">
      <c r="A39" s="7">
        <v>16</v>
      </c>
      <c r="B39" s="34" t="s">
        <v>53</v>
      </c>
      <c r="C39" s="43"/>
      <c r="D39" s="39"/>
      <c r="E39" s="45"/>
      <c r="F39" s="42"/>
      <c r="G39" s="57" t="e">
        <f>(((2^(1/12)^15*$H$11/16)*F39*E39)^2*PI()*(IF(J39="iron",$R$11,IF(J39="brass",$R$12,IF(J39="copper",$R$13)))*(((E39-C39)/2)^2+C39*(E39-C39)/2)+(C39^2*0.25*7.85))/((E39-C39)/2+C39*0.5)^2)/(10^9)</f>
        <v>#DIV/0!</v>
      </c>
      <c r="H39" s="58">
        <v>2</v>
      </c>
      <c r="I39" s="59" t="e">
        <f t="shared" si="1"/>
        <v>#DIV/0!</v>
      </c>
      <c r="J39" s="37" t="s">
        <v>131</v>
      </c>
      <c r="K39" s="38" t="s">
        <v>13</v>
      </c>
      <c r="L39" s="19" t="e">
        <f t="shared" si="0"/>
        <v>#N/A</v>
      </c>
      <c r="M39" s="65"/>
      <c r="N39" s="65"/>
      <c r="O39" s="65"/>
      <c r="P39" s="99"/>
      <c r="Q39" s="100"/>
      <c r="R39" s="102"/>
      <c r="S39" s="99">
        <v>22.5</v>
      </c>
      <c r="T39" s="100">
        <v>1.25</v>
      </c>
      <c r="U39" s="102">
        <v>2081.4585310820266</v>
      </c>
      <c r="V39" s="100">
        <v>22.5</v>
      </c>
      <c r="W39" s="100">
        <v>1.25</v>
      </c>
      <c r="X39" s="102">
        <v>1696.275955243942</v>
      </c>
      <c r="Y39" s="99">
        <v>20.5</v>
      </c>
      <c r="Z39" s="74">
        <v>1.15</v>
      </c>
      <c r="AA39" s="102">
        <v>1137.364532846972</v>
      </c>
      <c r="AB39" s="99">
        <v>17</v>
      </c>
      <c r="AC39" s="109">
        <v>0.975</v>
      </c>
      <c r="AD39" s="102">
        <v>749.9996249999999</v>
      </c>
      <c r="AE39" s="65"/>
      <c r="AF39" s="65"/>
      <c r="AG39" s="65"/>
      <c r="AH39" s="65"/>
      <c r="AI39" s="65"/>
      <c r="AJ39" s="65"/>
      <c r="AK39" s="71"/>
      <c r="AL39" s="65"/>
    </row>
    <row r="40" spans="1:38" ht="19.5" thickBot="1">
      <c r="A40" s="7">
        <v>17</v>
      </c>
      <c r="B40" s="34" t="s">
        <v>54</v>
      </c>
      <c r="C40" s="43"/>
      <c r="D40" s="46"/>
      <c r="E40" s="41"/>
      <c r="F40" s="42"/>
      <c r="G40" s="57" t="e">
        <f>(((2^(1/12)^16*$H$11/16)*F40*E40)^2*PI()*(IF(J40="iron",$R$11,IF(J40="brass",$R$12,IF(J40="copper",$R$13)))*(((E40-C40)/2)^2+C40*(E40-C40)/2)+(C40^2*0.25*7.85))/((E40-C40)/2+C40*0.5)^2)/(10^9)</f>
        <v>#DIV/0!</v>
      </c>
      <c r="H40" s="58">
        <v>2</v>
      </c>
      <c r="I40" s="61" t="e">
        <f t="shared" si="1"/>
        <v>#DIV/0!</v>
      </c>
      <c r="J40" s="37" t="s">
        <v>131</v>
      </c>
      <c r="K40" s="38" t="s">
        <v>13</v>
      </c>
      <c r="L40" s="19" t="e">
        <f t="shared" si="0"/>
        <v>#N/A</v>
      </c>
      <c r="M40" s="65"/>
      <c r="N40" s="74"/>
      <c r="O40" s="74"/>
      <c r="P40" s="99"/>
      <c r="Q40" s="100"/>
      <c r="R40" s="102"/>
      <c r="S40" s="99">
        <v>23</v>
      </c>
      <c r="T40" s="100">
        <v>1.3</v>
      </c>
      <c r="U40" s="102">
        <v>2236.373164636726</v>
      </c>
      <c r="V40" s="100">
        <v>23</v>
      </c>
      <c r="W40" s="100">
        <v>1.3</v>
      </c>
      <c r="X40" s="102">
        <v>1818.7641984381476</v>
      </c>
      <c r="Y40" s="99">
        <v>21</v>
      </c>
      <c r="Z40" s="74">
        <v>1.175</v>
      </c>
      <c r="AA40" s="102">
        <v>1171.0875664878504</v>
      </c>
      <c r="AB40" s="99">
        <v>17.5</v>
      </c>
      <c r="AC40" s="109">
        <v>1</v>
      </c>
      <c r="AD40" s="102">
        <v>779.99961</v>
      </c>
      <c r="AE40" s="65"/>
      <c r="AF40" s="65"/>
      <c r="AG40" s="65"/>
      <c r="AH40" s="65"/>
      <c r="AI40" s="65"/>
      <c r="AJ40" s="65"/>
      <c r="AK40" s="71"/>
      <c r="AL40" s="65"/>
    </row>
    <row r="41" spans="1:38" ht="18.75">
      <c r="A41" s="7">
        <v>18</v>
      </c>
      <c r="B41" s="34" t="s">
        <v>55</v>
      </c>
      <c r="C41" s="47"/>
      <c r="D41" s="39"/>
      <c r="E41" s="47"/>
      <c r="F41" s="42"/>
      <c r="G41" s="57" t="e">
        <f>(((2^(1/12)^17*$H$11/16)*F41*E41)^2*PI()*(IF(J41="iron",$R$11,IF(J41="brass",$R$12,IF(J41="copper",$R$13)))*(((E41-C41)/2)^2+C41*(E41-C41)/2)+(C41^2*0.25*7.85))/((E41-C41)/2+C41*0.5)^2)/(10^9)</f>
        <v>#DIV/0!</v>
      </c>
      <c r="H41" s="58">
        <v>3</v>
      </c>
      <c r="I41" s="59" t="e">
        <f t="shared" si="1"/>
        <v>#DIV/0!</v>
      </c>
      <c r="J41" s="37"/>
      <c r="K41" s="38">
        <v>1</v>
      </c>
      <c r="L41" s="19" t="e">
        <f t="shared" si="0"/>
        <v>#N/A</v>
      </c>
      <c r="M41" s="65"/>
      <c r="N41" s="74"/>
      <c r="O41" s="74"/>
      <c r="P41" s="99"/>
      <c r="Q41" s="100"/>
      <c r="R41" s="102"/>
      <c r="S41" s="99">
        <v>23.5</v>
      </c>
      <c r="T41" s="100">
        <v>1.35</v>
      </c>
      <c r="U41" s="102">
        <v>2396.1437677735566</v>
      </c>
      <c r="V41" s="100">
        <v>23.5</v>
      </c>
      <c r="W41" s="100">
        <v>1.35</v>
      </c>
      <c r="X41" s="102">
        <v>1944.1829585295297</v>
      </c>
      <c r="Y41" s="99">
        <v>21.5</v>
      </c>
      <c r="Z41" s="74">
        <v>1.2</v>
      </c>
      <c r="AA41" s="102">
        <v>1204.4866233863268</v>
      </c>
      <c r="AB41" s="99">
        <v>18</v>
      </c>
      <c r="AC41" s="109">
        <v>1.025</v>
      </c>
      <c r="AD41" s="102">
        <v>810.9995944999998</v>
      </c>
      <c r="AE41" s="65"/>
      <c r="AF41" s="65"/>
      <c r="AG41" s="65"/>
      <c r="AH41" s="65"/>
      <c r="AI41" s="65"/>
      <c r="AJ41" s="65"/>
      <c r="AK41" s="71"/>
      <c r="AL41" s="65"/>
    </row>
    <row r="42" spans="1:38" ht="18.75">
      <c r="A42" s="7">
        <v>19</v>
      </c>
      <c r="B42" s="34" t="s">
        <v>56</v>
      </c>
      <c r="C42" s="48"/>
      <c r="D42" s="39"/>
      <c r="E42" s="48"/>
      <c r="F42" s="42"/>
      <c r="G42" s="57" t="e">
        <f>(((2^(1/12)^18*$H$11/16)*F42*E42)^2*PI()*(IF(J42="iron",$R$11,IF(J42="brass",$R$12,IF(J42="copper",$R$13)))*(((E42-C42)/2)^2+C42*(E42-C42)/2)+(C42^2*0.25*7.85))/((E42-C42)/2+C42*0.5)^2)/(10^9)</f>
        <v>#DIV/0!</v>
      </c>
      <c r="H42" s="58">
        <v>3</v>
      </c>
      <c r="I42" s="59" t="e">
        <f t="shared" si="1"/>
        <v>#DIV/0!</v>
      </c>
      <c r="J42" s="37"/>
      <c r="K42" s="38">
        <v>1</v>
      </c>
      <c r="L42" s="19" t="e">
        <f t="shared" si="0"/>
        <v>#N/A</v>
      </c>
      <c r="M42" s="65"/>
      <c r="N42" s="74"/>
      <c r="O42" s="74"/>
      <c r="P42" s="99"/>
      <c r="Q42" s="100"/>
      <c r="R42" s="102"/>
      <c r="S42" s="99">
        <v>24</v>
      </c>
      <c r="T42" s="100">
        <v>1.4</v>
      </c>
      <c r="U42" s="102">
        <v>2559.6047605306494</v>
      </c>
      <c r="V42" s="100">
        <v>24</v>
      </c>
      <c r="W42" s="100">
        <v>1.4</v>
      </c>
      <c r="X42" s="102">
        <v>2072.3908638486764</v>
      </c>
      <c r="Y42" s="99">
        <v>22</v>
      </c>
      <c r="Z42" s="74">
        <v>1.225</v>
      </c>
      <c r="AA42" s="102">
        <v>1237.517524895711</v>
      </c>
      <c r="AB42" s="99">
        <v>18.5</v>
      </c>
      <c r="AC42" s="109">
        <v>1.05</v>
      </c>
      <c r="AD42" s="102">
        <v>840.9995795</v>
      </c>
      <c r="AE42" s="65"/>
      <c r="AF42" s="65"/>
      <c r="AG42" s="65"/>
      <c r="AH42" s="65"/>
      <c r="AI42" s="65"/>
      <c r="AJ42" s="65"/>
      <c r="AK42" s="71"/>
      <c r="AL42" s="65"/>
    </row>
    <row r="43" spans="1:38" ht="18.75">
      <c r="A43" s="7">
        <v>20</v>
      </c>
      <c r="B43" s="34" t="s">
        <v>57</v>
      </c>
      <c r="C43" s="48"/>
      <c r="D43" s="39"/>
      <c r="E43" s="48"/>
      <c r="F43" s="49"/>
      <c r="G43" s="57" t="e">
        <f>(((2^(1/12)^19*$H$11/16)*F43*E43)^2*PI()*(IF(J43="iron",$R$11,IF(J43="brass",$R$12,IF(J43="copper",$R$13)))*(((E43-C43)/2)^2+C43*(E43-C43)/2)+(C43^2*0.25*7.85))/((E43-C43)/2+C43*0.5)^2)/(10^9)</f>
        <v>#DIV/0!</v>
      </c>
      <c r="H43" s="58">
        <v>3</v>
      </c>
      <c r="I43" s="59" t="e">
        <f t="shared" si="1"/>
        <v>#DIV/0!</v>
      </c>
      <c r="J43" s="37"/>
      <c r="K43" s="38">
        <v>1</v>
      </c>
      <c r="L43" s="19" t="e">
        <f t="shared" si="0"/>
        <v>#N/A</v>
      </c>
      <c r="M43" s="65"/>
      <c r="N43" s="74"/>
      <c r="O43" s="74"/>
      <c r="P43" s="99"/>
      <c r="Q43" s="100"/>
      <c r="R43" s="102"/>
      <c r="S43" s="99">
        <v>24.5</v>
      </c>
      <c r="T43" s="100">
        <v>1.45</v>
      </c>
      <c r="U43" s="102">
        <v>2733.932964062978</v>
      </c>
      <c r="V43" s="100">
        <v>24.5</v>
      </c>
      <c r="W43" s="100">
        <v>1.45</v>
      </c>
      <c r="X43" s="102">
        <v>2203.2465427261777</v>
      </c>
      <c r="Y43" s="99">
        <v>22.5</v>
      </c>
      <c r="Z43" s="74">
        <v>1.25</v>
      </c>
      <c r="AA43" s="102">
        <v>1270.136092369311</v>
      </c>
      <c r="AB43" s="99">
        <v>19</v>
      </c>
      <c r="AC43" s="109">
        <v>1.075</v>
      </c>
      <c r="AD43" s="102">
        <v>871.999564</v>
      </c>
      <c r="AE43" s="65"/>
      <c r="AF43" s="65"/>
      <c r="AG43" s="65"/>
      <c r="AH43" s="65"/>
      <c r="AI43" s="65"/>
      <c r="AJ43" s="65"/>
      <c r="AK43" s="71"/>
      <c r="AL43" s="65"/>
    </row>
    <row r="44" spans="1:38" ht="18.75">
      <c r="A44" s="7">
        <v>21</v>
      </c>
      <c r="B44" s="34" t="s">
        <v>58</v>
      </c>
      <c r="C44" s="49"/>
      <c r="D44" s="39"/>
      <c r="E44" s="49"/>
      <c r="F44" s="49"/>
      <c r="G44" s="57" t="e">
        <f>(((2^(1/12)^20*$H$11/16)*F44*E44)^2*PI()*(IF(J44="iron",$R$11,IF(J44="brass",$R$12,IF(J44="copper",$R$13)))*(((E44-C44)/2)^2+C44*(E44-C44)/2)+(C44^2*0.25*7.85))/((E44-C44)/2+C44*0.5)^2)/(10^9)</f>
        <v>#DIV/0!</v>
      </c>
      <c r="H44" s="58">
        <v>3</v>
      </c>
      <c r="I44" s="59" t="e">
        <f t="shared" si="1"/>
        <v>#DIV/0!</v>
      </c>
      <c r="J44" s="37"/>
      <c r="K44" s="38">
        <v>1</v>
      </c>
      <c r="L44" s="19" t="e">
        <f t="shared" si="0"/>
        <v>#N/A</v>
      </c>
      <c r="M44" s="65"/>
      <c r="N44" s="112"/>
      <c r="O44" s="112"/>
      <c r="P44" s="99"/>
      <c r="Q44" s="100"/>
      <c r="R44" s="102"/>
      <c r="S44" s="99">
        <v>25</v>
      </c>
      <c r="T44" s="100">
        <v>1.5</v>
      </c>
      <c r="U44" s="102">
        <v>2905.8504861075276</v>
      </c>
      <c r="V44" s="100">
        <v>25</v>
      </c>
      <c r="W44" s="100">
        <v>1.5</v>
      </c>
      <c r="X44" s="102">
        <v>2336.608623492621</v>
      </c>
      <c r="Y44" s="99">
        <v>23</v>
      </c>
      <c r="Z44" s="74">
        <v>1.3</v>
      </c>
      <c r="AA44" s="102">
        <v>1353.8693540645213</v>
      </c>
      <c r="AB44" s="99">
        <v>19.5</v>
      </c>
      <c r="AC44" s="109">
        <v>1.1</v>
      </c>
      <c r="AD44" s="102">
        <v>901.9995489999999</v>
      </c>
      <c r="AE44" s="65"/>
      <c r="AF44" s="65"/>
      <c r="AG44" s="65"/>
      <c r="AH44" s="65"/>
      <c r="AI44" s="65"/>
      <c r="AJ44" s="65"/>
      <c r="AK44" s="71"/>
      <c r="AL44" s="65"/>
    </row>
    <row r="45" spans="1:38" ht="18.75">
      <c r="A45" s="7">
        <v>22</v>
      </c>
      <c r="B45" s="34" t="s">
        <v>59</v>
      </c>
      <c r="C45" s="48"/>
      <c r="D45" s="39"/>
      <c r="E45" s="48"/>
      <c r="F45" s="49"/>
      <c r="G45" s="57" t="e">
        <f>(((2^(1/12)^21*$H$11/16)*F45*E45)^2*PI()*(IF(J45="iron",$R$11,IF(J45="brass",$R$12,IF(J45="copper",$R$13)))*(((E45-C45)/2)^2+C45*(E45-C45)/2)+(C45^2*0.25*7.85))/((E45-C45)/2+C45*0.5)^2)/(10^9)</f>
        <v>#DIV/0!</v>
      </c>
      <c r="H45" s="58">
        <v>3</v>
      </c>
      <c r="I45" s="59" t="e">
        <f t="shared" si="1"/>
        <v>#DIV/0!</v>
      </c>
      <c r="J45" s="37"/>
      <c r="K45" s="38">
        <v>0</v>
      </c>
      <c r="L45" s="19" t="e">
        <f t="shared" si="0"/>
        <v>#N/A</v>
      </c>
      <c r="M45" s="65"/>
      <c r="N45" s="74"/>
      <c r="O45" s="65"/>
      <c r="P45" s="99"/>
      <c r="Q45" s="100"/>
      <c r="R45" s="102"/>
      <c r="S45" s="99">
        <v>25.5</v>
      </c>
      <c r="T45" s="100">
        <v>1.55</v>
      </c>
      <c r="U45" s="102">
        <v>3068.130436376413</v>
      </c>
      <c r="V45" s="100">
        <v>25.5</v>
      </c>
      <c r="W45" s="100">
        <v>1.55</v>
      </c>
      <c r="X45" s="113">
        <v>2472.335734478595</v>
      </c>
      <c r="Y45" s="99">
        <v>23.5</v>
      </c>
      <c r="Z45" s="109">
        <v>1.35</v>
      </c>
      <c r="AA45" s="102">
        <v>1438.545093555809</v>
      </c>
      <c r="AB45" s="99">
        <v>20</v>
      </c>
      <c r="AC45" s="109">
        <v>1.125</v>
      </c>
      <c r="AD45" s="102">
        <v>932.9995334999998</v>
      </c>
      <c r="AE45" s="65"/>
      <c r="AF45" s="65"/>
      <c r="AG45" s="65"/>
      <c r="AH45" s="65"/>
      <c r="AI45" s="65"/>
      <c r="AJ45" s="65"/>
      <c r="AK45" s="71"/>
      <c r="AL45" s="65"/>
    </row>
    <row r="46" spans="1:38" ht="18.75">
      <c r="A46" s="7">
        <v>23</v>
      </c>
      <c r="B46" s="34" t="s">
        <v>60</v>
      </c>
      <c r="C46" s="49"/>
      <c r="D46" s="39"/>
      <c r="E46" s="49"/>
      <c r="F46" s="49"/>
      <c r="G46" s="57" t="e">
        <f>(((2^(1/12)^22*$H$11/16)*F46*E46)^2*PI()*(IF(J46="iron",$R$11,IF(J46="brass",$R$12,IF(J46="copper",$R$13)))*(((E46-C46)/2)^2+C46*(E46-C46)/2)+(C46^2*0.25*7.85))/((E46-C46)/2+C46*0.5)^2)/(10^9)</f>
        <v>#DIV/0!</v>
      </c>
      <c r="H46" s="58">
        <v>3</v>
      </c>
      <c r="I46" s="59" t="e">
        <f t="shared" si="1"/>
        <v>#DIV/0!</v>
      </c>
      <c r="J46" s="37"/>
      <c r="K46" s="38">
        <v>0</v>
      </c>
      <c r="L46" s="19" t="e">
        <f t="shared" si="0"/>
        <v>#N/A</v>
      </c>
      <c r="M46" s="65"/>
      <c r="N46" s="74"/>
      <c r="O46" s="65"/>
      <c r="P46" s="99"/>
      <c r="Q46" s="100"/>
      <c r="R46" s="102"/>
      <c r="S46" s="99">
        <v>26</v>
      </c>
      <c r="T46" s="100">
        <v>1.6</v>
      </c>
      <c r="U46" s="102">
        <v>3254.187334294452</v>
      </c>
      <c r="V46" s="100">
        <v>26</v>
      </c>
      <c r="W46" s="100">
        <v>1.6</v>
      </c>
      <c r="X46" s="113">
        <v>2610.2865040146876</v>
      </c>
      <c r="Y46" s="99">
        <v>24</v>
      </c>
      <c r="Z46" s="109">
        <v>1.4</v>
      </c>
      <c r="AA46" s="102">
        <v>1523.9865962564083</v>
      </c>
      <c r="AB46" s="99">
        <v>20.5</v>
      </c>
      <c r="AC46" s="109">
        <v>1.15</v>
      </c>
      <c r="AD46" s="102">
        <v>962.9995184999999</v>
      </c>
      <c r="AE46" s="65"/>
      <c r="AF46" s="65"/>
      <c r="AG46" s="65"/>
      <c r="AH46" s="65"/>
      <c r="AI46" s="65"/>
      <c r="AJ46" s="65"/>
      <c r="AK46" s="71"/>
      <c r="AL46" s="65"/>
    </row>
    <row r="47" spans="1:38" ht="18.75">
      <c r="A47" s="7">
        <v>24</v>
      </c>
      <c r="B47" s="34" t="s">
        <v>61</v>
      </c>
      <c r="C47" s="48"/>
      <c r="D47" s="39"/>
      <c r="E47" s="48"/>
      <c r="F47" s="49"/>
      <c r="G47" s="57" t="e">
        <f>(((2^(1/12)^23*$H$11/16)*F47*E47)^2*PI()*(IF(J47="iron",$R$11,IF(J47="brass",$R$12,IF(J47="copper",$R$13)))*(((E47-C47)/2)^2+C47*(E47-C47)/2)+(C47^2*0.25*7.85))/((E47-C47)/2+C47*0.5)^2)/(10^9)</f>
        <v>#DIV/0!</v>
      </c>
      <c r="H47" s="58">
        <v>3</v>
      </c>
      <c r="I47" s="59" t="e">
        <f t="shared" si="1"/>
        <v>#DIV/0!</v>
      </c>
      <c r="J47" s="37"/>
      <c r="K47" s="38">
        <v>0</v>
      </c>
      <c r="L47" s="19" t="e">
        <f t="shared" si="0"/>
        <v>#N/A</v>
      </c>
      <c r="M47" s="114"/>
      <c r="N47" s="74"/>
      <c r="O47" s="71"/>
      <c r="P47" s="98"/>
      <c r="Q47" s="115"/>
      <c r="R47" s="116"/>
      <c r="S47" s="98">
        <v>27</v>
      </c>
      <c r="T47" s="115">
        <v>1.7</v>
      </c>
      <c r="U47" s="116">
        <v>3631.9648326363276</v>
      </c>
      <c r="V47" s="98">
        <v>27</v>
      </c>
      <c r="W47" s="115">
        <v>1.7</v>
      </c>
      <c r="X47" s="116">
        <v>2919.5311403662067</v>
      </c>
      <c r="Y47" s="99">
        <v>24.5</v>
      </c>
      <c r="Z47" s="109">
        <v>1.45</v>
      </c>
      <c r="AA47" s="102">
        <v>1610.0171475795569</v>
      </c>
      <c r="AB47" s="99">
        <v>21</v>
      </c>
      <c r="AC47" s="109">
        <v>1.175</v>
      </c>
      <c r="AD47" s="102">
        <v>993.9995029999998</v>
      </c>
      <c r="AE47" s="65"/>
      <c r="AF47" s="65"/>
      <c r="AG47" s="65"/>
      <c r="AH47" s="65"/>
      <c r="AI47" s="65"/>
      <c r="AJ47" s="65"/>
      <c r="AK47" s="71"/>
      <c r="AL47" s="65"/>
    </row>
    <row r="48" spans="1:38" ht="18.75">
      <c r="A48" s="8">
        <v>25</v>
      </c>
      <c r="B48" s="35" t="s">
        <v>62</v>
      </c>
      <c r="C48" s="49"/>
      <c r="D48" s="39"/>
      <c r="E48" s="49"/>
      <c r="F48" s="49"/>
      <c r="G48" s="57" t="e">
        <f>(((2^(1/12)^24*$H$11/16)*F48*E48)^2*PI()*(IF(J48="iron",$R$11,IF(J48="brass",$R$12,IF(J48="copper",$R$13)))*(((E48-C48)/2)^2+C48*(E48-C48)/2)+(C48^2*0.25*7.85))/((E48-C48)/2+C48*0.5)^2)/(10^9)</f>
        <v>#DIV/0!</v>
      </c>
      <c r="H48" s="58">
        <v>3</v>
      </c>
      <c r="I48" s="59" t="e">
        <f t="shared" si="1"/>
        <v>#DIV/0!</v>
      </c>
      <c r="J48" s="37"/>
      <c r="K48" s="38" t="s">
        <v>21</v>
      </c>
      <c r="L48" s="19" t="e">
        <f t="shared" si="0"/>
        <v>#N/A</v>
      </c>
      <c r="M48" s="65"/>
      <c r="N48" s="117"/>
      <c r="O48" s="118"/>
      <c r="P48" s="65"/>
      <c r="Q48" s="65"/>
      <c r="R48" s="65"/>
      <c r="S48" s="74"/>
      <c r="T48" s="74"/>
      <c r="U48" s="119"/>
      <c r="V48" s="74"/>
      <c r="W48" s="74"/>
      <c r="X48" s="119"/>
      <c r="Y48" s="99">
        <v>25</v>
      </c>
      <c r="Z48" s="100">
        <v>1.5</v>
      </c>
      <c r="AA48" s="120">
        <v>1696.46</v>
      </c>
      <c r="AB48" s="99">
        <v>21.5</v>
      </c>
      <c r="AC48" s="74">
        <v>1.2</v>
      </c>
      <c r="AD48" s="102">
        <v>1023.9994879999999</v>
      </c>
      <c r="AE48" s="65"/>
      <c r="AF48" s="65"/>
      <c r="AG48" s="65"/>
      <c r="AH48" s="65"/>
      <c r="AI48" s="65"/>
      <c r="AJ48" s="65"/>
      <c r="AK48" s="65"/>
      <c r="AL48" s="65"/>
    </row>
    <row r="49" spans="1:38" ht="18.75">
      <c r="A49" s="7">
        <v>26</v>
      </c>
      <c r="B49" s="34" t="s">
        <v>63</v>
      </c>
      <c r="C49" s="48"/>
      <c r="D49" s="39"/>
      <c r="E49" s="48"/>
      <c r="F49" s="49"/>
      <c r="G49" s="57" t="e">
        <f>(((2^(1/12)^25*$H$11/16)*F49*E49)^2*PI()*(IF(J49="iron",$R$11,IF(J49="brass",$R$12,IF(J49="copper",$R$13)))*(((E49-C49)/2)^2+C49*(E49-C49)/2)+(C49^2*0.25*7.85))/((E49-C49)/2+C49*0.5)^2)/(10^9)</f>
        <v>#DIV/0!</v>
      </c>
      <c r="H49" s="58">
        <v>3</v>
      </c>
      <c r="I49" s="59" t="e">
        <f t="shared" si="1"/>
        <v>#DIV/0!</v>
      </c>
      <c r="J49" s="37"/>
      <c r="K49" s="38" t="s">
        <v>21</v>
      </c>
      <c r="L49" s="19" t="e">
        <f t="shared" si="0"/>
        <v>#N/A</v>
      </c>
      <c r="M49" s="65"/>
      <c r="N49" s="117"/>
      <c r="O49" s="118"/>
      <c r="P49" s="65"/>
      <c r="Q49" s="74"/>
      <c r="R49" s="74"/>
      <c r="S49" s="65"/>
      <c r="T49" s="65"/>
      <c r="U49" s="121"/>
      <c r="V49" s="71"/>
      <c r="W49" s="65"/>
      <c r="X49" s="65"/>
      <c r="Y49" s="99">
        <v>25.5</v>
      </c>
      <c r="Z49" s="100">
        <v>1.55</v>
      </c>
      <c r="AA49" s="120">
        <v>1783.13</v>
      </c>
      <c r="AB49" s="99">
        <v>22</v>
      </c>
      <c r="AC49" s="74">
        <v>1.225</v>
      </c>
      <c r="AD49" s="102">
        <v>1053.9994729999999</v>
      </c>
      <c r="AE49" s="65"/>
      <c r="AF49" s="65"/>
      <c r="AG49" s="65"/>
      <c r="AH49" s="65"/>
      <c r="AI49" s="65"/>
      <c r="AJ49" s="65"/>
      <c r="AK49" s="65"/>
      <c r="AL49" s="65"/>
    </row>
    <row r="50" spans="1:38" ht="18.75">
      <c r="A50" s="7">
        <v>27</v>
      </c>
      <c r="B50" s="34" t="s">
        <v>64</v>
      </c>
      <c r="C50" s="49"/>
      <c r="D50" s="39"/>
      <c r="E50" s="49"/>
      <c r="F50" s="49"/>
      <c r="G50" s="57" t="e">
        <f>(((2^(1/12)^26*$H$11/16)*F50*E50)^2*PI()*(IF(J50="iron",$R$11,IF(J50="brass",$R$12,IF(J50="copper",$R$13)))*(((E50-C50)/2)^2+C50*(E50-C50)/2)+(C50^2*0.25*7.85))/((E50-C50)/2+C50*0.5)^2)/(10^9)</f>
        <v>#DIV/0!</v>
      </c>
      <c r="H50" s="58">
        <v>3</v>
      </c>
      <c r="I50" s="59" t="e">
        <f t="shared" si="1"/>
        <v>#DIV/0!</v>
      </c>
      <c r="J50" s="37"/>
      <c r="K50" s="38" t="s">
        <v>13</v>
      </c>
      <c r="L50" s="19" t="e">
        <f t="shared" si="0"/>
        <v>#N/A</v>
      </c>
      <c r="M50" s="122"/>
      <c r="N50" s="117"/>
      <c r="O50" s="118"/>
      <c r="P50" s="65"/>
      <c r="Q50" s="74"/>
      <c r="R50" s="74"/>
      <c r="S50" s="65"/>
      <c r="T50" s="65"/>
      <c r="U50" s="121"/>
      <c r="V50" s="71"/>
      <c r="W50" s="65"/>
      <c r="X50" s="65"/>
      <c r="Y50" s="98">
        <v>26</v>
      </c>
      <c r="Z50" s="115">
        <v>1.6</v>
      </c>
      <c r="AA50" s="123">
        <v>1869.87</v>
      </c>
      <c r="AB50" s="99">
        <v>22.5</v>
      </c>
      <c r="AC50" s="74">
        <v>1.25</v>
      </c>
      <c r="AD50" s="102">
        <v>1083.9994579999998</v>
      </c>
      <c r="AE50" s="65"/>
      <c r="AF50" s="65"/>
      <c r="AG50" s="65"/>
      <c r="AH50" s="65"/>
      <c r="AI50" s="65"/>
      <c r="AJ50" s="65"/>
      <c r="AK50" s="71"/>
      <c r="AL50" s="65"/>
    </row>
    <row r="51" spans="1:38" ht="18.75">
      <c r="A51" s="7">
        <v>28</v>
      </c>
      <c r="B51" s="34" t="s">
        <v>65</v>
      </c>
      <c r="C51" s="48"/>
      <c r="D51" s="39"/>
      <c r="E51" s="48"/>
      <c r="F51" s="49"/>
      <c r="G51" s="57" t="e">
        <f>(((2^(1/12)^27*$H$11/16)*F51*E51)^2*PI()*(IF(J51="iron",$R$11,IF(J51="brass",$R$12,IF(J51="copper",$R$13)))*(((E51-C51)/2)^2+C51*(E51-C51)/2)+(C51^2*0.25*7.85))/((E51-C51)/2+C51*0.5)^2)/(10^9)</f>
        <v>#DIV/0!</v>
      </c>
      <c r="H51" s="58">
        <v>3</v>
      </c>
      <c r="I51" s="59" t="e">
        <f t="shared" si="1"/>
        <v>#DIV/0!</v>
      </c>
      <c r="J51" s="37"/>
      <c r="K51" s="38" t="s">
        <v>13</v>
      </c>
      <c r="L51" s="19" t="e">
        <f t="shared" si="0"/>
        <v>#N/A</v>
      </c>
      <c r="M51" s="65"/>
      <c r="N51" s="117"/>
      <c r="O51" s="118"/>
      <c r="P51" s="65"/>
      <c r="Q51" s="74"/>
      <c r="R51" s="74"/>
      <c r="S51" s="65"/>
      <c r="T51" s="65"/>
      <c r="U51" s="65"/>
      <c r="V51" s="65"/>
      <c r="W51" s="65"/>
      <c r="X51" s="65"/>
      <c r="Y51" s="65"/>
      <c r="Z51" s="65"/>
      <c r="AA51" s="65"/>
      <c r="AB51" s="99">
        <v>23</v>
      </c>
      <c r="AC51" s="74">
        <v>1.3</v>
      </c>
      <c r="AD51" s="102">
        <v>1157.9994209999998</v>
      </c>
      <c r="AE51" s="65"/>
      <c r="AF51" s="65"/>
      <c r="AG51" s="65"/>
      <c r="AH51" s="65"/>
      <c r="AI51" s="65"/>
      <c r="AJ51" s="65"/>
      <c r="AK51" s="71"/>
      <c r="AL51" s="65"/>
    </row>
    <row r="52" spans="1:38" ht="18.75">
      <c r="A52" s="7">
        <v>29</v>
      </c>
      <c r="B52" s="34" t="s">
        <v>66</v>
      </c>
      <c r="C52" s="49"/>
      <c r="D52" s="39"/>
      <c r="E52" s="49"/>
      <c r="F52" s="49"/>
      <c r="G52" s="57" t="e">
        <f>(((2^(1/12)^28*$H$11/16)*F52*E52)^2*PI()*(IF(J52="iron",$R$11,IF(J52="brass",$R$12,IF(J52="copper",$R$13)))*(((E52-C52)/2)^2+C52*(E52-C52)/2)+(C52^2*0.25*7.85))/((E52-C52)/2+C52*0.5)^2)/(10^9)</f>
        <v>#DIV/0!</v>
      </c>
      <c r="H52" s="58">
        <v>3</v>
      </c>
      <c r="I52" s="59" t="e">
        <f t="shared" si="1"/>
        <v>#DIV/0!</v>
      </c>
      <c r="J52" s="37"/>
      <c r="K52" s="38" t="s">
        <v>13</v>
      </c>
      <c r="L52" s="19" t="e">
        <f t="shared" si="0"/>
        <v>#N/A</v>
      </c>
      <c r="M52" s="65"/>
      <c r="N52" s="117"/>
      <c r="O52" s="118"/>
      <c r="P52" s="65"/>
      <c r="Q52" s="74"/>
      <c r="R52" s="74"/>
      <c r="S52" s="119"/>
      <c r="T52" s="65"/>
      <c r="U52" s="65"/>
      <c r="V52" s="65"/>
      <c r="W52" s="65"/>
      <c r="X52" s="65"/>
      <c r="Y52" s="65"/>
      <c r="Z52" s="65"/>
      <c r="AA52" s="74"/>
      <c r="AB52" s="99">
        <v>23.5</v>
      </c>
      <c r="AC52" s="109">
        <v>1.35</v>
      </c>
      <c r="AD52" s="102">
        <v>1231.999384</v>
      </c>
      <c r="AE52" s="65"/>
      <c r="AF52" s="65"/>
      <c r="AG52" s="65"/>
      <c r="AH52" s="65"/>
      <c r="AI52" s="65"/>
      <c r="AJ52" s="65"/>
      <c r="AK52" s="71"/>
      <c r="AL52" s="65"/>
    </row>
    <row r="53" spans="1:38" ht="18.75">
      <c r="A53" s="7">
        <v>30</v>
      </c>
      <c r="B53" s="34" t="s">
        <v>67</v>
      </c>
      <c r="C53" s="49"/>
      <c r="D53" s="39"/>
      <c r="E53" s="49"/>
      <c r="F53" s="49"/>
      <c r="G53" s="57" t="e">
        <f>(((2^(1/12)^29*$H$11/16)*F53*E53)^2*PI()*(IF(J53="iron",$R$11,IF(J53="brass",$R$12,IF(J53="copper",$R$13)))*(((E53-C53)/2)^2+C53*(E53-C53)/2)+(C53^2*0.25*7.85))/((E53-C53)/2+C53*0.5)^2)/(10^9)</f>
        <v>#DIV/0!</v>
      </c>
      <c r="H53" s="58">
        <v>3</v>
      </c>
      <c r="I53" s="59" t="e">
        <f t="shared" si="1"/>
        <v>#DIV/0!</v>
      </c>
      <c r="J53" s="37"/>
      <c r="K53" s="38" t="s">
        <v>13</v>
      </c>
      <c r="L53" s="19" t="e">
        <f t="shared" si="0"/>
        <v>#N/A</v>
      </c>
      <c r="M53" s="65"/>
      <c r="N53" s="117"/>
      <c r="O53" s="118"/>
      <c r="P53" s="65"/>
      <c r="Q53" s="74"/>
      <c r="R53" s="74"/>
      <c r="S53" s="119"/>
      <c r="T53" s="73"/>
      <c r="U53" s="65"/>
      <c r="V53" s="65"/>
      <c r="W53" s="65"/>
      <c r="X53" s="65"/>
      <c r="Y53" s="65"/>
      <c r="Z53" s="65"/>
      <c r="AA53" s="74"/>
      <c r="AB53" s="98">
        <v>24</v>
      </c>
      <c r="AC53" s="124">
        <v>1.4</v>
      </c>
      <c r="AD53" s="116">
        <v>1307.9993459999998</v>
      </c>
      <c r="AE53" s="65"/>
      <c r="AF53" s="65"/>
      <c r="AG53" s="65"/>
      <c r="AH53" s="65"/>
      <c r="AI53" s="65"/>
      <c r="AJ53" s="65"/>
      <c r="AK53" s="65"/>
      <c r="AL53" s="65"/>
    </row>
    <row r="54" spans="1:38" ht="18.75">
      <c r="A54" s="7">
        <v>31</v>
      </c>
      <c r="B54" s="34" t="s">
        <v>68</v>
      </c>
      <c r="C54" s="48"/>
      <c r="D54" s="39"/>
      <c r="E54" s="48"/>
      <c r="F54" s="49"/>
      <c r="G54" s="57" t="e">
        <f>(((2^(1/12)^30*$H$11/16)*F54*E54)^2*PI()*(IF(J54="iron",$R$11,IF(J54="brass",$R$12,IF(J54="copper",$R$13)))*(((E54-C54)/2)^2+C54*(E54-C54)/2)+(C54^2*0.25*7.85))/((E54-C54)/2+C54*0.5)^2)/(10^9)</f>
        <v>#DIV/0!</v>
      </c>
      <c r="H54" s="58">
        <v>3</v>
      </c>
      <c r="I54" s="59" t="e">
        <f t="shared" si="1"/>
        <v>#DIV/0!</v>
      </c>
      <c r="J54" s="37"/>
      <c r="K54" s="38" t="s">
        <v>13</v>
      </c>
      <c r="L54" s="19" t="e">
        <f t="shared" si="0"/>
        <v>#N/A</v>
      </c>
      <c r="M54" s="65"/>
      <c r="N54" s="117"/>
      <c r="O54" s="118"/>
      <c r="P54" s="65"/>
      <c r="Q54" s="65"/>
      <c r="R54" s="65"/>
      <c r="S54" s="65"/>
      <c r="T54" s="73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</row>
    <row r="55" spans="1:38" ht="18.75">
      <c r="A55" s="7">
        <v>32</v>
      </c>
      <c r="B55" s="34" t="s">
        <v>69</v>
      </c>
      <c r="C55" s="49"/>
      <c r="D55" s="39"/>
      <c r="E55" s="49"/>
      <c r="F55" s="49"/>
      <c r="G55" s="57" t="e">
        <f>(((2^(1/12)^31*$H$11/16)*F55*E55)^2*PI()*(IF(J55="iron",$R$11,IF(J55="brass",$R$12,IF(J55="copper",$R$13)))*(((E55-C55)/2)^2+C55*(E55-C55)/2)+(C55^2*0.25*7.85))/((E55-C55)/2+C55*0.5)^2)/(10^9)</f>
        <v>#DIV/0!</v>
      </c>
      <c r="H55" s="58">
        <v>3</v>
      </c>
      <c r="I55" s="59" t="e">
        <f t="shared" si="1"/>
        <v>#DIV/0!</v>
      </c>
      <c r="J55" s="37"/>
      <c r="K55" s="38" t="s">
        <v>13</v>
      </c>
      <c r="L55" s="19" t="e">
        <f t="shared" si="0"/>
        <v>#N/A</v>
      </c>
      <c r="M55" s="74"/>
      <c r="N55" s="117"/>
      <c r="O55" s="118"/>
      <c r="P55" s="78"/>
      <c r="Q55" s="119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1:38" ht="18.75">
      <c r="A56" s="7">
        <v>33</v>
      </c>
      <c r="B56" s="34" t="s">
        <v>70</v>
      </c>
      <c r="C56" s="49"/>
      <c r="D56" s="39"/>
      <c r="E56" s="49"/>
      <c r="F56" s="49"/>
      <c r="G56" s="57" t="e">
        <f>(((2^(1/12)^32*$H$11/16)*F56*E56)^2*PI()*(IF(J56="iron",$R$11,IF(J56="brass",$R$12,IF(J56="copper",$R$13)))*(((E56-C56)/2)^2+C56*(E56-C56)/2)+(C56^2*0.25*7.85))/((E56-C56)/2+C56*0.5)^2)/(10^9)</f>
        <v>#DIV/0!</v>
      </c>
      <c r="H56" s="58">
        <v>3</v>
      </c>
      <c r="I56" s="59" t="e">
        <f t="shared" si="1"/>
        <v>#DIV/0!</v>
      </c>
      <c r="J56" s="37"/>
      <c r="K56" s="38" t="s">
        <v>13</v>
      </c>
      <c r="L56" s="19" t="e">
        <f t="shared" si="0"/>
        <v>#N/A</v>
      </c>
      <c r="M56" s="65"/>
      <c r="N56" s="117"/>
      <c r="O56" s="118"/>
      <c r="P56" s="78"/>
      <c r="Q56" s="65"/>
      <c r="R56" s="73"/>
      <c r="S56" s="73"/>
      <c r="T56" s="73"/>
      <c r="U56" s="73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</row>
    <row r="57" spans="1:38" ht="18.75">
      <c r="A57" s="7">
        <v>34</v>
      </c>
      <c r="B57" s="34" t="s">
        <v>71</v>
      </c>
      <c r="C57" s="48"/>
      <c r="D57" s="39"/>
      <c r="E57" s="48"/>
      <c r="F57" s="49"/>
      <c r="G57" s="57" t="e">
        <f>(((2^(1/12)^33*$H$11/16)*F57*E57)^2*PI()*(IF(J57="iron",$R$11,IF(J57="brass",$R$12,IF(J57="copper",$R$13)))*(((E57-C57)/2)^2+C57*(E57-C57)/2)+(C57^2*0.25*7.85))/((E57-C57)/2+C57*0.5)^2)/(10^9)</f>
        <v>#DIV/0!</v>
      </c>
      <c r="H57" s="58">
        <v>3</v>
      </c>
      <c r="I57" s="59" t="e">
        <f t="shared" si="1"/>
        <v>#DIV/0!</v>
      </c>
      <c r="J57" s="37"/>
      <c r="K57" s="38" t="s">
        <v>13</v>
      </c>
      <c r="L57" s="19" t="e">
        <f t="shared" si="0"/>
        <v>#N/A</v>
      </c>
      <c r="M57" s="65"/>
      <c r="N57" s="65"/>
      <c r="O57" s="65"/>
      <c r="P57" s="65"/>
      <c r="Q57" s="65"/>
      <c r="R57" s="65"/>
      <c r="S57" s="65"/>
      <c r="T57" s="73"/>
      <c r="U57" s="74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</row>
    <row r="58" spans="1:49" ht="18.75">
      <c r="A58" s="7">
        <v>35</v>
      </c>
      <c r="B58" s="36" t="s">
        <v>72</v>
      </c>
      <c r="C58" s="49"/>
      <c r="D58" s="39"/>
      <c r="E58" s="49"/>
      <c r="F58" s="49"/>
      <c r="G58" s="57" t="e">
        <f>(((2^(1/12)^34*$H$11/16)*F58*E58)^2*PI()*(IF(J58="iron",$R$11,IF(J58="brass",$R$12,IF(J58="copper",$R$13)))*(((E58-C58)/2)^2+C58*(E58-C58)/2)+(C58^2*0.25*7.85))/((E58-C58)/2+C58*0.5)^2)/(10^9)</f>
        <v>#DIV/0!</v>
      </c>
      <c r="H58" s="58">
        <v>3</v>
      </c>
      <c r="I58" s="59" t="e">
        <f t="shared" si="1"/>
        <v>#DIV/0!</v>
      </c>
      <c r="J58" s="37"/>
      <c r="K58" s="38" t="s">
        <v>13</v>
      </c>
      <c r="L58" s="19" t="e">
        <f t="shared" si="0"/>
        <v>#N/A</v>
      </c>
      <c r="M58" s="65"/>
      <c r="N58" s="65"/>
      <c r="O58" s="65"/>
      <c r="P58" s="65"/>
      <c r="Q58" s="65"/>
      <c r="R58" s="125"/>
      <c r="S58" s="119"/>
      <c r="T58" s="73"/>
      <c r="U58" s="74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W58" s="3"/>
    </row>
    <row r="59" spans="1:49" ht="18.75">
      <c r="A59" s="7">
        <v>36</v>
      </c>
      <c r="B59" s="34" t="s">
        <v>73</v>
      </c>
      <c r="C59" s="49"/>
      <c r="D59" s="39"/>
      <c r="E59" s="49"/>
      <c r="F59" s="49"/>
      <c r="G59" s="57" t="e">
        <f>(((2^(1/12)^35*$H$11/16)*F59*E59)^2*PI()*(IF(J59="iron",$R$11,IF(J59="brass",$R$12,IF(J59="copper",$R$13)))*(((E59-C59)/2)^2+C59*(E59-C59)/2)+(C59^2*0.25*7.85))/((E59-C59)/2+C59*0.5)^2)/(10^9)</f>
        <v>#DIV/0!</v>
      </c>
      <c r="H59" s="58">
        <v>3</v>
      </c>
      <c r="I59" s="59" t="e">
        <f t="shared" si="1"/>
        <v>#DIV/0!</v>
      </c>
      <c r="J59" s="37"/>
      <c r="K59" s="38" t="s">
        <v>13</v>
      </c>
      <c r="L59" s="19" t="e">
        <f t="shared" si="0"/>
        <v>#N/A</v>
      </c>
      <c r="M59" s="65"/>
      <c r="N59" s="65"/>
      <c r="O59" s="65"/>
      <c r="P59" s="65"/>
      <c r="Q59" s="65"/>
      <c r="R59" s="74"/>
      <c r="S59" s="119"/>
      <c r="T59" s="73"/>
      <c r="U59" s="74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W59" s="3"/>
    </row>
    <row r="60" spans="1:38" ht="18.75">
      <c r="A60" s="8">
        <v>37</v>
      </c>
      <c r="B60" s="35" t="s">
        <v>74</v>
      </c>
      <c r="C60" s="48"/>
      <c r="D60" s="39"/>
      <c r="E60" s="48"/>
      <c r="F60" s="49"/>
      <c r="G60" s="57" t="e">
        <f>(((2^(1/12)^36*$H$11/16)*F60*E60)^2*PI()*(IF(J60="iron",$R$11,IF(J60="brass",$R$12,IF(J60="copper",$R$13)))*(((E60-C60)/2)^2+C60*(E60-C60)/2)+(C60^2*0.25*7.85))/((E60-C60)/2+C60*0.5)^2)/(10^9)</f>
        <v>#DIV/0!</v>
      </c>
      <c r="H60" s="58">
        <v>3</v>
      </c>
      <c r="I60" s="59" t="e">
        <f t="shared" si="1"/>
        <v>#DIV/0!</v>
      </c>
      <c r="J60" s="37"/>
      <c r="K60" s="38" t="s">
        <v>13</v>
      </c>
      <c r="L60" s="19" t="e">
        <f t="shared" si="0"/>
        <v>#N/A</v>
      </c>
      <c r="M60" s="65"/>
      <c r="N60" s="65"/>
      <c r="O60" s="65"/>
      <c r="P60" s="65"/>
      <c r="Q60" s="65"/>
      <c r="R60" s="74"/>
      <c r="S60" s="119"/>
      <c r="T60" s="73"/>
      <c r="U60" s="74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38" ht="18.75">
      <c r="A61" s="7">
        <v>38</v>
      </c>
      <c r="B61" s="34" t="s">
        <v>75</v>
      </c>
      <c r="C61" s="50"/>
      <c r="D61" s="39"/>
      <c r="E61" s="49"/>
      <c r="F61" s="49"/>
      <c r="G61" s="57" t="e">
        <f>(((2^(1/12)^37*$H$11/16)*F61*E61)^2*PI()*(IF(J61="iron",$R$11,IF(J61="brass",$R$12,IF(J61="copper",$R$13)))*(((E61-C61)/2)^2+C61*(E61-C61)/2)+(C61^2*0.25*7.85))/((E61-C61)/2+C61*0.5)^2)/(10^9)</f>
        <v>#DIV/0!</v>
      </c>
      <c r="H61" s="58">
        <v>3</v>
      </c>
      <c r="I61" s="59" t="e">
        <f t="shared" si="1"/>
        <v>#DIV/0!</v>
      </c>
      <c r="J61" s="37"/>
      <c r="K61" s="38" t="s">
        <v>13</v>
      </c>
      <c r="L61" s="19" t="e">
        <f t="shared" si="0"/>
        <v>#N/A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38" ht="18.75">
      <c r="A62" s="7">
        <v>39</v>
      </c>
      <c r="B62" s="34" t="s">
        <v>76</v>
      </c>
      <c r="C62" s="50"/>
      <c r="D62" s="39"/>
      <c r="E62" s="49"/>
      <c r="F62" s="49"/>
      <c r="G62" s="57" t="e">
        <f>(((2^(1/12)^38*$H$11/16)*F62*E62)^2*PI()*(IF(J62="iron",$R$11,IF(J62="brass",$R$12,IF(J62="copper",$R$13)))*(((E62-C62)/2)^2+C62*(E62-C62)/2)+(C62^2*0.25*7.85))/((E62-C62)/2+C62*0.5)^2)/(10^9)</f>
        <v>#DIV/0!</v>
      </c>
      <c r="H62" s="58">
        <v>3</v>
      </c>
      <c r="I62" s="59" t="e">
        <f t="shared" si="1"/>
        <v>#DIV/0!</v>
      </c>
      <c r="J62" s="37"/>
      <c r="K62" s="38" t="s">
        <v>13</v>
      </c>
      <c r="L62" s="19" t="e">
        <f t="shared" si="0"/>
        <v>#N/A</v>
      </c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38" ht="18.75">
      <c r="A63" s="7">
        <v>40</v>
      </c>
      <c r="B63" s="34" t="s">
        <v>77</v>
      </c>
      <c r="C63" s="51"/>
      <c r="D63" s="39"/>
      <c r="E63" s="48"/>
      <c r="F63" s="49"/>
      <c r="G63" s="57" t="e">
        <f>(((2^(1/12)^39*$H$11/16)*F63*E63)^2*PI()*(IF(J63="iron",$R$11,IF(J63="brass",$R$12,IF(J63="copper",$R$13)))*(((E63-C63)/2)^2+C63*(E63-C63)/2)+(C63^2*0.25*7.85))/((E63-C63)/2+C63*0.5)^2)/(10^9)</f>
        <v>#DIV/0!</v>
      </c>
      <c r="H63" s="58">
        <v>3</v>
      </c>
      <c r="I63" s="59" t="e">
        <f t="shared" si="1"/>
        <v>#DIV/0!</v>
      </c>
      <c r="J63" s="37"/>
      <c r="K63" s="38" t="s">
        <v>13</v>
      </c>
      <c r="L63" s="19" t="e">
        <f t="shared" si="0"/>
        <v>#N/A</v>
      </c>
      <c r="M63" s="65"/>
      <c r="N63" s="65"/>
      <c r="O63" s="65"/>
      <c r="P63" s="65"/>
      <c r="Q63" s="65"/>
      <c r="R63" s="74"/>
      <c r="S63" s="119"/>
      <c r="T63" s="73"/>
      <c r="U63" s="74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38" ht="18.75">
      <c r="A64" s="7">
        <v>41</v>
      </c>
      <c r="B64" s="34" t="s">
        <v>78</v>
      </c>
      <c r="C64" s="50"/>
      <c r="D64" s="39"/>
      <c r="E64" s="49"/>
      <c r="F64" s="49"/>
      <c r="G64" s="57" t="e">
        <f>(((2^(1/12)^40*$H$11/16)*F64*E64)^2*PI()*(IF(J64="iron",$R$11,IF(J64="brass",$R$12,IF(J64="copper",$R$13)))*(((E64-C64)/2)^2+C64*(E64-C64)/2)+(C64^2*0.25*7.85))/((E64-C64)/2+C64*0.5)^2)/(10^9)</f>
        <v>#DIV/0!</v>
      </c>
      <c r="H64" s="58">
        <v>3</v>
      </c>
      <c r="I64" s="59" t="e">
        <f t="shared" si="1"/>
        <v>#DIV/0!</v>
      </c>
      <c r="J64" s="37"/>
      <c r="K64" s="38" t="s">
        <v>13</v>
      </c>
      <c r="L64" s="19" t="e">
        <f t="shared" si="0"/>
        <v>#N/A</v>
      </c>
      <c r="M64" s="65"/>
      <c r="N64" s="65"/>
      <c r="O64" s="65"/>
      <c r="P64" s="65"/>
      <c r="Q64" s="65"/>
      <c r="R64" s="74"/>
      <c r="S64" s="119"/>
      <c r="T64" s="73"/>
      <c r="U64" s="74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1:38" ht="18.75">
      <c r="A65" s="7">
        <v>42</v>
      </c>
      <c r="B65" s="34" t="s">
        <v>79</v>
      </c>
      <c r="C65" s="50"/>
      <c r="D65" s="39"/>
      <c r="E65" s="49"/>
      <c r="F65" s="49"/>
      <c r="G65" s="57" t="e">
        <f>(((2^(1/12)^41*$H$11/16)*F65*E65)^2*PI()*(IF(J65="iron",$R$11,IF(J65="brass",$R$12,IF(J65="copper",$R$13)))*(((E65-C65)/2)^2+C65*(E65-C65)/2)+(C65^2*0.25*7.85))/((E65-C65)/2+C65*0.5)^2)/(10^9)</f>
        <v>#DIV/0!</v>
      </c>
      <c r="H65" s="58">
        <v>3</v>
      </c>
      <c r="I65" s="59" t="e">
        <f t="shared" si="1"/>
        <v>#DIV/0!</v>
      </c>
      <c r="J65" s="37"/>
      <c r="K65" s="38" t="s">
        <v>13</v>
      </c>
      <c r="L65" s="19" t="e">
        <f t="shared" si="0"/>
        <v>#N/A</v>
      </c>
      <c r="M65" s="65"/>
      <c r="N65" s="65"/>
      <c r="O65" s="65"/>
      <c r="P65" s="65"/>
      <c r="Q65" s="65"/>
      <c r="R65" s="74"/>
      <c r="S65" s="119"/>
      <c r="T65" s="73"/>
      <c r="U65" s="74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1:38" ht="18.75">
      <c r="A66" s="7">
        <v>43</v>
      </c>
      <c r="B66" s="34" t="s">
        <v>80</v>
      </c>
      <c r="C66" s="51"/>
      <c r="D66" s="39"/>
      <c r="E66" s="48"/>
      <c r="F66" s="49"/>
      <c r="G66" s="57" t="e">
        <f>(((2^(1/12)^42*$H$11/16)*F66*E66)^2*PI()*(IF(J66="iron",$R$11,IF(J66="brass",$R$12,IF(J66="copper",$R$13)))*(((E66-C66)/2)^2+C66*(E66-C66)/2)+(C66^2*0.25*7.85))/((E66-C66)/2+C66*0.5)^2)/(10^9)</f>
        <v>#DIV/0!</v>
      </c>
      <c r="H66" s="58">
        <v>3</v>
      </c>
      <c r="I66" s="59" t="e">
        <f t="shared" si="1"/>
        <v>#DIV/0!</v>
      </c>
      <c r="J66" s="37"/>
      <c r="K66" s="38" t="s">
        <v>13</v>
      </c>
      <c r="L66" s="19" t="e">
        <f t="shared" si="0"/>
        <v>#N/A</v>
      </c>
      <c r="M66" s="65"/>
      <c r="N66" s="65"/>
      <c r="O66" s="65"/>
      <c r="P66" s="65"/>
      <c r="Q66" s="65"/>
      <c r="R66" s="74"/>
      <c r="S66" s="119"/>
      <c r="T66" s="73"/>
      <c r="U66" s="74"/>
      <c r="V66" s="65"/>
      <c r="W66" s="65"/>
      <c r="X66" s="65"/>
      <c r="Y66" s="65"/>
      <c r="Z66" s="74"/>
      <c r="AA66" s="74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  <row r="67" spans="1:38" ht="18.75">
      <c r="A67" s="7">
        <v>44</v>
      </c>
      <c r="B67" s="34" t="s">
        <v>81</v>
      </c>
      <c r="C67" s="50"/>
      <c r="D67" s="39"/>
      <c r="E67" s="49"/>
      <c r="F67" s="49"/>
      <c r="G67" s="57" t="e">
        <f>(((2^(1/12)^43*$H$11/16)*F67*E67)^2*PI()*(IF(J67="iron",$R$11,IF(J67="brass",$R$12,IF(J67="copper",$R$13)))*(((E67-C67)/2)^2+C67*(E67-C67)/2)+(C67^2*0.25*7.85))/((E67-C67)/2+C67*0.5)^2)/(10^9)</f>
        <v>#DIV/0!</v>
      </c>
      <c r="H67" s="58">
        <v>3</v>
      </c>
      <c r="I67" s="59" t="e">
        <f t="shared" si="1"/>
        <v>#DIV/0!</v>
      </c>
      <c r="J67" s="37"/>
      <c r="K67" s="38" t="s">
        <v>13</v>
      </c>
      <c r="L67" s="19" t="e">
        <f t="shared" si="0"/>
        <v>#N/A</v>
      </c>
      <c r="M67" s="65"/>
      <c r="N67" s="65"/>
      <c r="O67" s="65"/>
      <c r="P67" s="65"/>
      <c r="Q67" s="65"/>
      <c r="R67" s="65"/>
      <c r="S67" s="65"/>
      <c r="T67" s="126"/>
      <c r="U67" s="126"/>
      <c r="V67" s="65"/>
      <c r="W67" s="65"/>
      <c r="X67" s="65"/>
      <c r="Y67" s="65"/>
      <c r="Z67" s="74"/>
      <c r="AA67" s="74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ht="18">
      <c r="A68" s="7">
        <v>45</v>
      </c>
      <c r="B68" s="34" t="s">
        <v>82</v>
      </c>
      <c r="C68" s="50"/>
      <c r="D68" s="39"/>
      <c r="E68" s="49"/>
      <c r="F68" s="49"/>
      <c r="G68" s="57" t="e">
        <f>(((2^(1/12)^44*$H$11/16)*F68*E68)^2*PI()*(IF(J68="iron",$R$11,IF(J68="brass",$R$12,IF(J68="copper",$R$13)))*(((E68-C68)/2)^2+C68*(E68-C68)/2)+(C68^2*0.25*7.85))/((E68-C68)/2+C68*0.5)^2)/(10^9)</f>
        <v>#DIV/0!</v>
      </c>
      <c r="H68" s="58">
        <v>3</v>
      </c>
      <c r="I68" s="59" t="e">
        <f t="shared" si="1"/>
        <v>#DIV/0!</v>
      </c>
      <c r="J68" s="37"/>
      <c r="K68" s="38" t="s">
        <v>13</v>
      </c>
      <c r="L68" s="19" t="e">
        <f t="shared" si="0"/>
        <v>#N/A</v>
      </c>
      <c r="M68" s="65"/>
      <c r="N68" s="65"/>
      <c r="O68" s="65"/>
      <c r="P68" s="65"/>
      <c r="Q68" s="65"/>
      <c r="R68" s="65"/>
      <c r="S68" s="65"/>
      <c r="T68" s="126"/>
      <c r="U68" s="126"/>
      <c r="V68" s="126"/>
      <c r="W68" s="126"/>
      <c r="X68" s="65"/>
      <c r="Y68" s="126"/>
      <c r="Z68" s="126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1:38" ht="18">
      <c r="A69" s="7">
        <v>46</v>
      </c>
      <c r="B69" s="34" t="s">
        <v>83</v>
      </c>
      <c r="C69" s="51"/>
      <c r="D69" s="39"/>
      <c r="E69" s="48"/>
      <c r="F69" s="49"/>
      <c r="G69" s="57" t="e">
        <f>(((2^(1/12)^45*$H$11/16)*F69*E69)^2*PI()*(IF(J69="iron",$R$11,IF(J69="brass",$R$12,IF(J69="copper",$R$13)))*(((E69-C69)/2)^2+C69*(E69-C69)/2)+(C69^2*0.25*7.85))/((E69-C69)/2+C69*0.5)^2)/(10^9)</f>
        <v>#DIV/0!</v>
      </c>
      <c r="H69" s="58">
        <v>3</v>
      </c>
      <c r="I69" s="59" t="e">
        <f t="shared" si="1"/>
        <v>#DIV/0!</v>
      </c>
      <c r="J69" s="37"/>
      <c r="K69" s="38" t="s">
        <v>13</v>
      </c>
      <c r="L69" s="19" t="e">
        <f t="shared" si="0"/>
        <v>#N/A</v>
      </c>
      <c r="M69" s="74"/>
      <c r="N69" s="74"/>
      <c r="O69" s="74"/>
      <c r="P69" s="119"/>
      <c r="Q69" s="73"/>
      <c r="R69" s="65"/>
      <c r="S69" s="65"/>
      <c r="T69" s="126"/>
      <c r="U69" s="126"/>
      <c r="V69" s="126"/>
      <c r="W69" s="126"/>
      <c r="X69" s="65"/>
      <c r="Y69" s="126"/>
      <c r="Z69" s="126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</row>
    <row r="70" spans="1:38" ht="18">
      <c r="A70" s="7">
        <v>47</v>
      </c>
      <c r="B70" s="34" t="s">
        <v>84</v>
      </c>
      <c r="C70" s="50"/>
      <c r="D70" s="39"/>
      <c r="E70" s="49"/>
      <c r="F70" s="49"/>
      <c r="G70" s="57" t="e">
        <f>(((2^(1/12)^46*$H$11/16)*F70*E70)^2*PI()*(IF(J70="iron",$R$11,IF(J70="brass",$R$12,IF(J70="copper",$R$13)))*(((E70-C70)/2)^2+C70*(E70-C70)/2)+(C70^2*0.25*7.85))/((E70-C70)/2+C70*0.5)^2)/(10^9)</f>
        <v>#DIV/0!</v>
      </c>
      <c r="H70" s="58">
        <v>3</v>
      </c>
      <c r="I70" s="59" t="e">
        <f t="shared" si="1"/>
        <v>#DIV/0!</v>
      </c>
      <c r="J70" s="37"/>
      <c r="K70" s="38" t="s">
        <v>13</v>
      </c>
      <c r="L70" s="19" t="e">
        <f t="shared" si="0"/>
        <v>#N/A</v>
      </c>
      <c r="M70" s="112"/>
      <c r="N70" s="74"/>
      <c r="O70" s="74"/>
      <c r="P70" s="119"/>
      <c r="Q70" s="73"/>
      <c r="R70" s="65"/>
      <c r="S70" s="65"/>
      <c r="T70" s="126"/>
      <c r="U70" s="126"/>
      <c r="V70" s="126"/>
      <c r="W70" s="126"/>
      <c r="X70" s="65"/>
      <c r="Y70" s="126"/>
      <c r="Z70" s="126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38" ht="18">
      <c r="A71" s="7">
        <v>48</v>
      </c>
      <c r="B71" s="34" t="s">
        <v>85</v>
      </c>
      <c r="C71" s="50"/>
      <c r="D71" s="39"/>
      <c r="E71" s="49"/>
      <c r="F71" s="49"/>
      <c r="G71" s="57" t="e">
        <f>(((2^(1/12)^47*$H$11/16)*F71*E71)^2*PI()*(IF(J71="iron",$R$11,IF(J71="brass",$R$12,IF(J71="copper",$R$13)))*(((E71-C71)/2)^2+C71*(E71-C71)/2)+(C71^2*0.25*7.85))/((E71-C71)/2+C71*0.5)^2)/(10^9)</f>
        <v>#DIV/0!</v>
      </c>
      <c r="H71" s="58">
        <v>3</v>
      </c>
      <c r="I71" s="59" t="e">
        <f t="shared" si="1"/>
        <v>#DIV/0!</v>
      </c>
      <c r="J71" s="37"/>
      <c r="K71" s="38" t="s">
        <v>13</v>
      </c>
      <c r="L71" s="19" t="e">
        <f t="shared" si="0"/>
        <v>#N/A</v>
      </c>
      <c r="M71" s="65"/>
      <c r="N71" s="65"/>
      <c r="O71" s="126"/>
      <c r="P71" s="126"/>
      <c r="Q71" s="65"/>
      <c r="R71" s="65"/>
      <c r="S71" s="65"/>
      <c r="T71" s="126"/>
      <c r="U71" s="126"/>
      <c r="V71" s="126"/>
      <c r="W71" s="126"/>
      <c r="X71" s="65"/>
      <c r="Y71" s="126"/>
      <c r="Z71" s="126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38" ht="18">
      <c r="A72" s="8">
        <v>49</v>
      </c>
      <c r="B72" s="35" t="s">
        <v>86</v>
      </c>
      <c r="C72" s="51">
        <v>0.975</v>
      </c>
      <c r="D72" s="39"/>
      <c r="E72" s="48">
        <v>0.975</v>
      </c>
      <c r="F72" s="48">
        <v>440</v>
      </c>
      <c r="G72" s="57">
        <f>(((2^(1/12)^48*$H$11/16)*F72*E72)^2*PI()*(IF(J72="iron",$R$11,IF(J72="brass",$R$12,IF(J72="copper",$R$13)))*(((E72-C72)/2)^2+C72*(E72-C72)/2)+(C72^2*0.25*7.85))/((E72-C72)/2+C72*0.5)^2)/(10^9)</f>
        <v>886.7039691642888</v>
      </c>
      <c r="H72" s="58">
        <v>3</v>
      </c>
      <c r="I72" s="59">
        <f t="shared" si="1"/>
        <v>2660.1119074928665</v>
      </c>
      <c r="J72" s="37"/>
      <c r="K72" s="38" t="s">
        <v>13</v>
      </c>
      <c r="L72" s="19">
        <f t="shared" si="0"/>
        <v>67.39735095750873</v>
      </c>
      <c r="M72" s="65"/>
      <c r="N72" s="65"/>
      <c r="O72" s="126"/>
      <c r="P72" s="126"/>
      <c r="Q72" s="65"/>
      <c r="R72" s="65"/>
      <c r="S72" s="65"/>
      <c r="T72" s="126"/>
      <c r="U72" s="126"/>
      <c r="V72" s="126"/>
      <c r="W72" s="126"/>
      <c r="X72" s="65"/>
      <c r="Y72" s="126"/>
      <c r="Z72" s="126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38" ht="18">
      <c r="A73" s="7">
        <v>50</v>
      </c>
      <c r="B73" s="34" t="s">
        <v>87</v>
      </c>
      <c r="C73" s="50"/>
      <c r="D73" s="39"/>
      <c r="E73" s="49"/>
      <c r="F73" s="49"/>
      <c r="G73" s="62">
        <f>((2^(1/12)^49)*((H$11+0.125)/16)*(E73*F73))^2*PI()*7.85/(10^9)</f>
        <v>0</v>
      </c>
      <c r="H73" s="58">
        <v>3</v>
      </c>
      <c r="I73" s="59">
        <f t="shared" si="1"/>
        <v>0</v>
      </c>
      <c r="J73" s="37"/>
      <c r="K73" s="38" t="s">
        <v>13</v>
      </c>
      <c r="L73" s="19" t="e">
        <f t="shared" si="0"/>
        <v>#N/A</v>
      </c>
      <c r="M73" s="65"/>
      <c r="N73" s="65"/>
      <c r="O73" s="126"/>
      <c r="P73" s="126"/>
      <c r="Q73" s="65"/>
      <c r="R73" s="65"/>
      <c r="S73" s="65"/>
      <c r="T73" s="126"/>
      <c r="U73" s="126"/>
      <c r="V73" s="126"/>
      <c r="W73" s="126"/>
      <c r="X73" s="65"/>
      <c r="Y73" s="126"/>
      <c r="Z73" s="126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38" ht="18">
      <c r="A74" s="7">
        <v>51</v>
      </c>
      <c r="B74" s="34" t="s">
        <v>88</v>
      </c>
      <c r="C74" s="50"/>
      <c r="D74" s="39"/>
      <c r="E74" s="49"/>
      <c r="F74" s="49"/>
      <c r="G74" s="62">
        <f>((2^(1/12)^50)*((H$11+0.125)/16)*(E74*F74))^2*PI()*7.85/(10^9)</f>
        <v>0</v>
      </c>
      <c r="H74" s="58">
        <v>3</v>
      </c>
      <c r="I74" s="59">
        <f t="shared" si="1"/>
        <v>0</v>
      </c>
      <c r="J74" s="37"/>
      <c r="K74" s="38" t="s">
        <v>13</v>
      </c>
      <c r="L74" s="19" t="e">
        <f t="shared" si="0"/>
        <v>#N/A</v>
      </c>
      <c r="M74" s="65"/>
      <c r="N74" s="65"/>
      <c r="O74" s="126"/>
      <c r="P74" s="126"/>
      <c r="Q74" s="65"/>
      <c r="R74" s="65"/>
      <c r="S74" s="65"/>
      <c r="T74" s="126"/>
      <c r="U74" s="126"/>
      <c r="V74" s="126"/>
      <c r="W74" s="126"/>
      <c r="X74" s="65"/>
      <c r="Y74" s="126"/>
      <c r="Z74" s="126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38" ht="18">
      <c r="A75" s="7">
        <v>52</v>
      </c>
      <c r="B75" s="34" t="s">
        <v>89</v>
      </c>
      <c r="C75" s="50"/>
      <c r="D75" s="39"/>
      <c r="E75" s="49"/>
      <c r="F75" s="49"/>
      <c r="G75" s="62">
        <f>((2^(1/12)^51)*((H$11+0.25)/16)*(E75*F75))^2*PI()*7.85/(10^9)</f>
        <v>0</v>
      </c>
      <c r="H75" s="58">
        <v>3</v>
      </c>
      <c r="I75" s="59">
        <f t="shared" si="1"/>
        <v>0</v>
      </c>
      <c r="J75" s="37"/>
      <c r="K75" s="38" t="s">
        <v>13</v>
      </c>
      <c r="L75" s="19" t="e">
        <f t="shared" si="0"/>
        <v>#N/A</v>
      </c>
      <c r="M75" s="65"/>
      <c r="N75" s="65"/>
      <c r="O75" s="126"/>
      <c r="P75" s="126"/>
      <c r="Q75" s="65"/>
      <c r="R75" s="65"/>
      <c r="S75" s="65"/>
      <c r="T75" s="126"/>
      <c r="U75" s="126"/>
      <c r="V75" s="126"/>
      <c r="W75" s="126"/>
      <c r="X75" s="65"/>
      <c r="Y75" s="126"/>
      <c r="Z75" s="126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38" ht="18">
      <c r="A76" s="7">
        <v>53</v>
      </c>
      <c r="B76" s="36" t="s">
        <v>90</v>
      </c>
      <c r="C76" s="51"/>
      <c r="D76" s="39"/>
      <c r="E76" s="48"/>
      <c r="F76" s="49"/>
      <c r="G76" s="62">
        <f>((2^(1/12)^52)*((H$11+0.25)/16)*(E76*F76))^2*PI()*7.85/(10^9)</f>
        <v>0</v>
      </c>
      <c r="H76" s="58">
        <v>3</v>
      </c>
      <c r="I76" s="59">
        <f t="shared" si="1"/>
        <v>0</v>
      </c>
      <c r="J76" s="37"/>
      <c r="K76" s="38" t="s">
        <v>13</v>
      </c>
      <c r="L76" s="19" t="e">
        <f t="shared" si="0"/>
        <v>#N/A</v>
      </c>
      <c r="M76" s="65"/>
      <c r="N76" s="65"/>
      <c r="O76" s="126"/>
      <c r="P76" s="126"/>
      <c r="Q76" s="65"/>
      <c r="R76" s="65"/>
      <c r="S76" s="65"/>
      <c r="T76" s="126"/>
      <c r="U76" s="126"/>
      <c r="V76" s="126"/>
      <c r="W76" s="126"/>
      <c r="X76" s="65"/>
      <c r="Y76" s="126"/>
      <c r="Z76" s="126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1:38" ht="18">
      <c r="A77" s="7">
        <v>54</v>
      </c>
      <c r="B77" s="36" t="s">
        <v>91</v>
      </c>
      <c r="C77" s="50"/>
      <c r="D77" s="39"/>
      <c r="E77" s="49"/>
      <c r="F77" s="49"/>
      <c r="G77" s="62">
        <f>((2^(1/12)^53)*((H$11+0.375)/16)*(E77*F77))^2*PI()*7.85/(10^9)</f>
        <v>0</v>
      </c>
      <c r="H77" s="58">
        <v>3</v>
      </c>
      <c r="I77" s="59">
        <f t="shared" si="1"/>
        <v>0</v>
      </c>
      <c r="J77" s="37"/>
      <c r="K77" s="38" t="s">
        <v>21</v>
      </c>
      <c r="L77" s="19" t="e">
        <f t="shared" si="0"/>
        <v>#N/A</v>
      </c>
      <c r="M77" s="65"/>
      <c r="N77" s="65"/>
      <c r="O77" s="126"/>
      <c r="P77" s="126"/>
      <c r="Q77" s="65"/>
      <c r="R77" s="65"/>
      <c r="S77" s="65"/>
      <c r="T77" s="126"/>
      <c r="U77" s="126"/>
      <c r="V77" s="126"/>
      <c r="W77" s="126"/>
      <c r="X77" s="65"/>
      <c r="Y77" s="126"/>
      <c r="Z77" s="126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1:38" ht="18">
      <c r="A78" s="7">
        <v>55</v>
      </c>
      <c r="B78" s="34" t="s">
        <v>92</v>
      </c>
      <c r="C78" s="50"/>
      <c r="D78" s="39"/>
      <c r="E78" s="49"/>
      <c r="F78" s="49"/>
      <c r="G78" s="62">
        <f>((2^(1/12)^54)*((H$11+0.375)/16)*(E78*F78))^2*PI()*7.85/(10^9)</f>
        <v>0</v>
      </c>
      <c r="H78" s="58">
        <v>3</v>
      </c>
      <c r="I78" s="59">
        <f t="shared" si="1"/>
        <v>0</v>
      </c>
      <c r="J78" s="37"/>
      <c r="K78" s="38" t="s">
        <v>13</v>
      </c>
      <c r="L78" s="19" t="e">
        <f>100/(IF($K78="XM",VLOOKUP(C78,$Q$16:$R$33,2),IF($K78="M",VLOOKUP(C78,$T$16:$U$47,2),IF($K78=0,VLOOKUP(C78,$W$16:$X$47,2),IF($K78=1,VLOOKUP(C78,$Z$16:$AA$50,2),IF($K78=2,VLOOKUP(C78,$AC$16:$AD$53,2)))))))*G78</f>
        <v>#N/A</v>
      </c>
      <c r="M78" s="65"/>
      <c r="N78" s="65"/>
      <c r="O78" s="126"/>
      <c r="P78" s="126"/>
      <c r="Q78" s="65"/>
      <c r="R78" s="65"/>
      <c r="S78" s="65"/>
      <c r="T78" s="126"/>
      <c r="U78" s="126"/>
      <c r="V78" s="126"/>
      <c r="W78" s="126"/>
      <c r="X78" s="65"/>
      <c r="Y78" s="126"/>
      <c r="Z78" s="126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</row>
    <row r="79" spans="1:38" ht="18">
      <c r="A79" s="7">
        <v>56</v>
      </c>
      <c r="B79" s="34" t="s">
        <v>93</v>
      </c>
      <c r="C79" s="50"/>
      <c r="D79" s="39"/>
      <c r="E79" s="49"/>
      <c r="F79" s="49"/>
      <c r="G79" s="62">
        <f>((2^(1/12)^55)*((H$11+0.5)/16)*(E79*F79))^2*PI()*7.85/(10^9)</f>
        <v>0</v>
      </c>
      <c r="H79" s="58">
        <v>3</v>
      </c>
      <c r="I79" s="59">
        <f t="shared" si="1"/>
        <v>0</v>
      </c>
      <c r="J79" s="37"/>
      <c r="K79" s="38" t="s">
        <v>13</v>
      </c>
      <c r="L79" s="19" t="e">
        <f aca="true" t="shared" si="2" ref="L79:L103">100/(IF($K79="XM",VLOOKUP(C79,$Q$16:$R$33,2),IF($K79="M",VLOOKUP(C79,$T$16:$U$47,2),IF($K79=0,VLOOKUP(C79,$W$16:$X$47,2),IF($K79=1,VLOOKUP(C79,$Z$16:$AA$50,2),IF($K79=2,VLOOKUP(C79,$AC$16:$AD$53,2)))))))*G79</f>
        <v>#N/A</v>
      </c>
      <c r="M79" s="65"/>
      <c r="N79" s="65"/>
      <c r="O79" s="126"/>
      <c r="P79" s="126"/>
      <c r="Q79" s="65"/>
      <c r="R79" s="65"/>
      <c r="S79" s="65"/>
      <c r="T79" s="126"/>
      <c r="U79" s="126"/>
      <c r="V79" s="126"/>
      <c r="W79" s="126"/>
      <c r="X79" s="65"/>
      <c r="Y79" s="126"/>
      <c r="Z79" s="126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1:38" ht="18">
      <c r="A80" s="7">
        <v>57</v>
      </c>
      <c r="B80" s="34" t="s">
        <v>94</v>
      </c>
      <c r="C80" s="50"/>
      <c r="D80" s="39"/>
      <c r="E80" s="49"/>
      <c r="F80" s="49"/>
      <c r="G80" s="62">
        <f>((2^(1/12)^56)*((H$11+0.5)/16)*(E80*F80))^2*PI()*7.85/(10^9)</f>
        <v>0</v>
      </c>
      <c r="H80" s="58">
        <v>3</v>
      </c>
      <c r="I80" s="59">
        <f t="shared" si="1"/>
        <v>0</v>
      </c>
      <c r="J80" s="37"/>
      <c r="K80" s="38" t="s">
        <v>13</v>
      </c>
      <c r="L80" s="19" t="e">
        <f t="shared" si="2"/>
        <v>#N/A</v>
      </c>
      <c r="M80" s="65"/>
      <c r="N80" s="65"/>
      <c r="O80" s="126"/>
      <c r="P80" s="126"/>
      <c r="Q80" s="65"/>
      <c r="R80" s="65"/>
      <c r="S80" s="65"/>
      <c r="T80" s="126"/>
      <c r="U80" s="126"/>
      <c r="V80" s="126"/>
      <c r="W80" s="126"/>
      <c r="X80" s="65"/>
      <c r="Y80" s="126"/>
      <c r="Z80" s="126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</row>
    <row r="81" spans="1:38" ht="18">
      <c r="A81" s="7">
        <v>58</v>
      </c>
      <c r="B81" s="34" t="s">
        <v>95</v>
      </c>
      <c r="C81" s="50"/>
      <c r="D81" s="39"/>
      <c r="E81" s="49"/>
      <c r="F81" s="49"/>
      <c r="G81" s="62">
        <f>((2^(1/12)^57)*((H$11+0.625)/16)*(E81*F81))^2*PI()*7.85/(10^9)</f>
        <v>0</v>
      </c>
      <c r="H81" s="58">
        <v>3</v>
      </c>
      <c r="I81" s="59">
        <f t="shared" si="1"/>
        <v>0</v>
      </c>
      <c r="J81" s="37"/>
      <c r="K81" s="38" t="s">
        <v>13</v>
      </c>
      <c r="L81" s="19" t="e">
        <f t="shared" si="2"/>
        <v>#N/A</v>
      </c>
      <c r="M81" s="65"/>
      <c r="N81" s="65"/>
      <c r="O81" s="126"/>
      <c r="P81" s="126"/>
      <c r="Q81" s="65"/>
      <c r="R81" s="65"/>
      <c r="S81" s="65"/>
      <c r="T81" s="126"/>
      <c r="U81" s="126"/>
      <c r="V81" s="126"/>
      <c r="W81" s="126"/>
      <c r="X81" s="65"/>
      <c r="Y81" s="126"/>
      <c r="Z81" s="126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</row>
    <row r="82" spans="1:38" ht="18">
      <c r="A82" s="7">
        <v>59</v>
      </c>
      <c r="B82" s="34" t="s">
        <v>96</v>
      </c>
      <c r="C82" s="51"/>
      <c r="D82" s="39"/>
      <c r="E82" s="48"/>
      <c r="F82" s="49"/>
      <c r="G82" s="62">
        <f>((2^(1/12)^58)*((H$11+0.625)/16)*(E82*F82))^2*PI()*7.85/(10^9)</f>
        <v>0</v>
      </c>
      <c r="H82" s="58">
        <v>3</v>
      </c>
      <c r="I82" s="59">
        <f t="shared" si="1"/>
        <v>0</v>
      </c>
      <c r="J82" s="37"/>
      <c r="K82" s="38" t="s">
        <v>13</v>
      </c>
      <c r="L82" s="19" t="e">
        <f t="shared" si="2"/>
        <v>#N/A</v>
      </c>
      <c r="M82" s="65"/>
      <c r="N82" s="65"/>
      <c r="O82" s="126"/>
      <c r="P82" s="126"/>
      <c r="Q82" s="65"/>
      <c r="R82" s="65"/>
      <c r="S82" s="65"/>
      <c r="T82" s="126"/>
      <c r="U82" s="126"/>
      <c r="V82" s="126"/>
      <c r="W82" s="126"/>
      <c r="X82" s="65"/>
      <c r="Y82" s="126"/>
      <c r="Z82" s="126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38" ht="18">
      <c r="A83" s="7">
        <v>60</v>
      </c>
      <c r="B83" s="34" t="s">
        <v>97</v>
      </c>
      <c r="C83" s="50"/>
      <c r="D83" s="39"/>
      <c r="E83" s="49"/>
      <c r="F83" s="49"/>
      <c r="G83" s="62">
        <f>((2^(1/12)^59)*((H$11+0.75)/16)*(E83*F83))^2*PI()*7.85/(10^9)</f>
        <v>0</v>
      </c>
      <c r="H83" s="58">
        <v>3</v>
      </c>
      <c r="I83" s="59">
        <f t="shared" si="1"/>
        <v>0</v>
      </c>
      <c r="J83" s="37"/>
      <c r="K83" s="38" t="s">
        <v>13</v>
      </c>
      <c r="L83" s="19" t="e">
        <f t="shared" si="2"/>
        <v>#N/A</v>
      </c>
      <c r="M83" s="65"/>
      <c r="N83" s="65"/>
      <c r="O83" s="126"/>
      <c r="P83" s="126"/>
      <c r="Q83" s="65"/>
      <c r="R83" s="65"/>
      <c r="S83" s="65"/>
      <c r="T83" s="65"/>
      <c r="U83" s="65"/>
      <c r="V83" s="126"/>
      <c r="W83" s="126"/>
      <c r="X83" s="65"/>
      <c r="Y83" s="126"/>
      <c r="Z83" s="126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38" ht="18">
      <c r="A84" s="8">
        <v>61</v>
      </c>
      <c r="B84" s="35" t="s">
        <v>98</v>
      </c>
      <c r="C84" s="50"/>
      <c r="D84" s="39"/>
      <c r="E84" s="49"/>
      <c r="F84" s="48"/>
      <c r="G84" s="62">
        <f>((2^(1/12)^60)*((H$11+0.75)/16)*(E84*F84))^2*PI()*7.85/(10^9)</f>
        <v>0</v>
      </c>
      <c r="H84" s="58">
        <v>3</v>
      </c>
      <c r="I84" s="59">
        <f t="shared" si="1"/>
        <v>0</v>
      </c>
      <c r="J84" s="37"/>
      <c r="K84" s="38" t="s">
        <v>13</v>
      </c>
      <c r="L84" s="19" t="e">
        <f t="shared" si="2"/>
        <v>#N/A</v>
      </c>
      <c r="M84" s="65"/>
      <c r="N84" s="65"/>
      <c r="O84" s="126"/>
      <c r="P84" s="126"/>
      <c r="Q84" s="65"/>
      <c r="R84" s="65"/>
      <c r="S84" s="65"/>
      <c r="T84" s="65"/>
      <c r="U84" s="65"/>
      <c r="V84" s="126"/>
      <c r="W84" s="126"/>
      <c r="X84" s="65"/>
      <c r="Y84" s="126"/>
      <c r="Z84" s="126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38" ht="18">
      <c r="A85" s="7">
        <v>62</v>
      </c>
      <c r="B85" s="34" t="s">
        <v>99</v>
      </c>
      <c r="C85" s="50"/>
      <c r="D85" s="39"/>
      <c r="E85" s="49"/>
      <c r="F85" s="49"/>
      <c r="G85" s="62">
        <f>((2^(1/12)^61)*((H$11+0.875)/16)*(E85*F85))^2*PI()*7.85/(10^9)</f>
        <v>0</v>
      </c>
      <c r="H85" s="58">
        <v>3</v>
      </c>
      <c r="I85" s="59">
        <f t="shared" si="1"/>
        <v>0</v>
      </c>
      <c r="J85" s="37"/>
      <c r="K85" s="38" t="s">
        <v>13</v>
      </c>
      <c r="L85" s="19" t="e">
        <f t="shared" si="2"/>
        <v>#N/A</v>
      </c>
      <c r="M85" s="65"/>
      <c r="N85" s="65"/>
      <c r="O85" s="126"/>
      <c r="P85" s="126"/>
      <c r="Q85" s="65"/>
      <c r="R85" s="65"/>
      <c r="S85" s="65"/>
      <c r="T85" s="65"/>
      <c r="U85" s="65"/>
      <c r="V85" s="126"/>
      <c r="W85" s="126"/>
      <c r="X85" s="65"/>
      <c r="Y85" s="126"/>
      <c r="Z85" s="126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38" ht="18">
      <c r="A86" s="7">
        <v>63</v>
      </c>
      <c r="B86" s="34" t="s">
        <v>100</v>
      </c>
      <c r="C86" s="50"/>
      <c r="D86" s="39"/>
      <c r="E86" s="49"/>
      <c r="F86" s="49"/>
      <c r="G86" s="62">
        <f>((2^(1/12)^62)*((H$11+0.875)/16)*(E86*F86))^2*PI()*7.85/(10^9)</f>
        <v>0</v>
      </c>
      <c r="H86" s="58">
        <v>3</v>
      </c>
      <c r="I86" s="59">
        <f t="shared" si="1"/>
        <v>0</v>
      </c>
      <c r="J86" s="37"/>
      <c r="K86" s="38" t="s">
        <v>13</v>
      </c>
      <c r="L86" s="19" t="e">
        <f t="shared" si="2"/>
        <v>#N/A</v>
      </c>
      <c r="M86" s="65"/>
      <c r="N86" s="65"/>
      <c r="O86" s="126"/>
      <c r="P86" s="126"/>
      <c r="Q86" s="65"/>
      <c r="R86" s="65"/>
      <c r="S86" s="65"/>
      <c r="T86" s="65"/>
      <c r="U86" s="65"/>
      <c r="V86" s="65"/>
      <c r="W86" s="65"/>
      <c r="X86" s="65"/>
      <c r="Y86" s="126"/>
      <c r="Z86" s="126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 ht="18">
      <c r="A87" s="7">
        <v>64</v>
      </c>
      <c r="B87" s="34" t="s">
        <v>101</v>
      </c>
      <c r="C87" s="50"/>
      <c r="D87" s="39"/>
      <c r="E87" s="49"/>
      <c r="F87" s="49"/>
      <c r="G87" s="62">
        <f>((2^(1/12)^63)*((H$11+1)/16)*(E87*F87))^2*PI()*7.85/(10^9)</f>
        <v>0</v>
      </c>
      <c r="H87" s="58">
        <v>3</v>
      </c>
      <c r="I87" s="59">
        <f t="shared" si="1"/>
        <v>0</v>
      </c>
      <c r="J87" s="37"/>
      <c r="K87" s="38" t="s">
        <v>13</v>
      </c>
      <c r="L87" s="19" t="e">
        <f t="shared" si="2"/>
        <v>#N/A</v>
      </c>
      <c r="M87" s="65"/>
      <c r="N87" s="65"/>
      <c r="O87" s="126"/>
      <c r="P87" s="126"/>
      <c r="Q87" s="65"/>
      <c r="R87" s="65"/>
      <c r="S87" s="65"/>
      <c r="T87" s="65"/>
      <c r="U87" s="65"/>
      <c r="V87" s="65"/>
      <c r="W87" s="65"/>
      <c r="X87" s="65"/>
      <c r="Y87" s="126"/>
      <c r="Z87" s="126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 ht="18">
      <c r="A88" s="7">
        <v>65</v>
      </c>
      <c r="B88" s="34" t="s">
        <v>102</v>
      </c>
      <c r="C88" s="51"/>
      <c r="D88" s="39"/>
      <c r="E88" s="48"/>
      <c r="F88" s="49"/>
      <c r="G88" s="62">
        <f>((2^(1/12)^64)*((H$11+1.125)/16)*(E88*F88))^2*PI()*7.85/(10^9)</f>
        <v>0</v>
      </c>
      <c r="H88" s="58">
        <v>3</v>
      </c>
      <c r="I88" s="59">
        <f t="shared" si="1"/>
        <v>0</v>
      </c>
      <c r="J88" s="37"/>
      <c r="K88" s="38" t="s">
        <v>13</v>
      </c>
      <c r="L88" s="19" t="e">
        <f t="shared" si="2"/>
        <v>#N/A</v>
      </c>
      <c r="M88" s="65"/>
      <c r="N88" s="65"/>
      <c r="O88" s="126"/>
      <c r="P88" s="126"/>
      <c r="Q88" s="65"/>
      <c r="R88" s="65"/>
      <c r="S88" s="65"/>
      <c r="T88" s="65"/>
      <c r="U88" s="65"/>
      <c r="V88" s="65"/>
      <c r="W88" s="65"/>
      <c r="X88" s="65"/>
      <c r="Y88" s="126"/>
      <c r="Z88" s="126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 ht="18">
      <c r="A89" s="7">
        <v>66</v>
      </c>
      <c r="B89" s="34" t="s">
        <v>103</v>
      </c>
      <c r="C89" s="50"/>
      <c r="D89" s="39"/>
      <c r="E89" s="49"/>
      <c r="F89" s="49"/>
      <c r="G89" s="62">
        <f>((2^(1/12)^65)*((H$11+1.25)/16)*(E89*F89))^2*PI()*7.85/(10^9)</f>
        <v>0</v>
      </c>
      <c r="H89" s="58">
        <v>3</v>
      </c>
      <c r="I89" s="59">
        <f t="shared" si="1"/>
        <v>0</v>
      </c>
      <c r="J89" s="37"/>
      <c r="K89" s="38" t="s">
        <v>13</v>
      </c>
      <c r="L89" s="19" t="e">
        <f t="shared" si="2"/>
        <v>#N/A</v>
      </c>
      <c r="M89" s="65"/>
      <c r="N89" s="65"/>
      <c r="O89" s="126"/>
      <c r="P89" s="126"/>
      <c r="Q89" s="65"/>
      <c r="R89" s="65"/>
      <c r="S89" s="65"/>
      <c r="T89" s="65"/>
      <c r="U89" s="65"/>
      <c r="V89" s="65"/>
      <c r="W89" s="65"/>
      <c r="X89" s="65"/>
      <c r="Y89" s="126"/>
      <c r="Z89" s="126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 ht="18">
      <c r="A90" s="7">
        <v>67</v>
      </c>
      <c r="B90" s="34" t="s">
        <v>104</v>
      </c>
      <c r="C90" s="50"/>
      <c r="D90" s="39"/>
      <c r="E90" s="49"/>
      <c r="F90" s="49"/>
      <c r="G90" s="62">
        <f>((2^(1/12)^66)*((H$11+1.375)/16)*(E90*F90))^2*PI()*7.85/(10^9)</f>
        <v>0</v>
      </c>
      <c r="H90" s="58">
        <v>3</v>
      </c>
      <c r="I90" s="59">
        <f aca="true" t="shared" si="3" ref="I90:I111">G90*H90</f>
        <v>0</v>
      </c>
      <c r="J90" s="37"/>
      <c r="K90" s="38" t="s">
        <v>13</v>
      </c>
      <c r="L90" s="19" t="e">
        <f t="shared" si="2"/>
        <v>#N/A</v>
      </c>
      <c r="M90" s="65"/>
      <c r="N90" s="65"/>
      <c r="O90" s="126"/>
      <c r="P90" s="126"/>
      <c r="Q90" s="65"/>
      <c r="R90" s="65"/>
      <c r="S90" s="65"/>
      <c r="T90" s="65"/>
      <c r="U90" s="65"/>
      <c r="V90" s="65"/>
      <c r="W90" s="65"/>
      <c r="X90" s="65"/>
      <c r="Y90" s="126"/>
      <c r="Z90" s="126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 ht="18">
      <c r="A91" s="7">
        <v>68</v>
      </c>
      <c r="B91" s="34" t="s">
        <v>105</v>
      </c>
      <c r="C91" s="50"/>
      <c r="D91" s="39"/>
      <c r="E91" s="49"/>
      <c r="F91" s="49"/>
      <c r="G91" s="62">
        <f>((2^(1/12)^67)*((H$11+1.5)/16)*(E91*F91))^2*PI()*7.85/(10^9)</f>
        <v>0</v>
      </c>
      <c r="H91" s="58">
        <v>3</v>
      </c>
      <c r="I91" s="59">
        <f t="shared" si="3"/>
        <v>0</v>
      </c>
      <c r="J91" s="37"/>
      <c r="K91" s="38" t="s">
        <v>13</v>
      </c>
      <c r="L91" s="19" t="e">
        <f t="shared" si="2"/>
        <v>#N/A</v>
      </c>
      <c r="M91" s="65"/>
      <c r="N91" s="65"/>
      <c r="O91" s="126"/>
      <c r="P91" s="126"/>
      <c r="Q91" s="65"/>
      <c r="R91" s="65"/>
      <c r="S91" s="65"/>
      <c r="T91" s="65"/>
      <c r="U91" s="65"/>
      <c r="V91" s="65"/>
      <c r="W91" s="65"/>
      <c r="X91" s="65"/>
      <c r="Y91" s="126"/>
      <c r="Z91" s="126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 ht="18">
      <c r="A92" s="7">
        <v>69</v>
      </c>
      <c r="B92" s="34" t="s">
        <v>106</v>
      </c>
      <c r="C92" s="50"/>
      <c r="D92" s="39"/>
      <c r="E92" s="49"/>
      <c r="F92" s="49"/>
      <c r="G92" s="62">
        <f>((2^(1/12)^68)*((H$11+1.625)/16)*(E92*F92))^2*PI()*7.85/(10^9)</f>
        <v>0</v>
      </c>
      <c r="H92" s="58">
        <v>3</v>
      </c>
      <c r="I92" s="59">
        <f t="shared" si="3"/>
        <v>0</v>
      </c>
      <c r="J92" s="37"/>
      <c r="K92" s="38" t="s">
        <v>13</v>
      </c>
      <c r="L92" s="19" t="e">
        <f t="shared" si="2"/>
        <v>#N/A</v>
      </c>
      <c r="M92" s="65"/>
      <c r="N92" s="65"/>
      <c r="O92" s="126"/>
      <c r="P92" s="126"/>
      <c r="Q92" s="65"/>
      <c r="R92" s="65"/>
      <c r="S92" s="65"/>
      <c r="T92" s="65"/>
      <c r="U92" s="65"/>
      <c r="V92" s="65"/>
      <c r="W92" s="65"/>
      <c r="X92" s="65"/>
      <c r="Y92" s="126"/>
      <c r="Z92" s="126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  <row r="93" spans="1:38" ht="18">
      <c r="A93" s="7">
        <v>70</v>
      </c>
      <c r="B93" s="34" t="s">
        <v>107</v>
      </c>
      <c r="C93" s="50"/>
      <c r="D93" s="39"/>
      <c r="E93" s="49"/>
      <c r="F93" s="49"/>
      <c r="G93" s="62">
        <f>((2^(1/12)^69)*((H$11+1.75)/16)*(E93*F93))^2*PI()*7.85/(10^9)</f>
        <v>0</v>
      </c>
      <c r="H93" s="58">
        <v>3</v>
      </c>
      <c r="I93" s="59">
        <f t="shared" si="3"/>
        <v>0</v>
      </c>
      <c r="J93" s="37"/>
      <c r="K93" s="38" t="s">
        <v>13</v>
      </c>
      <c r="L93" s="19" t="e">
        <f t="shared" si="2"/>
        <v>#N/A</v>
      </c>
      <c r="M93" s="65"/>
      <c r="N93" s="65"/>
      <c r="O93" s="126"/>
      <c r="P93" s="126"/>
      <c r="Q93" s="65"/>
      <c r="R93" s="65"/>
      <c r="S93" s="65"/>
      <c r="T93" s="65"/>
      <c r="U93" s="65"/>
      <c r="V93" s="65"/>
      <c r="W93" s="65"/>
      <c r="X93" s="65"/>
      <c r="Y93" s="126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</row>
    <row r="94" spans="1:38" ht="18">
      <c r="A94" s="7">
        <v>71</v>
      </c>
      <c r="B94" s="36" t="s">
        <v>108</v>
      </c>
      <c r="C94" s="50"/>
      <c r="D94" s="39"/>
      <c r="E94" s="49"/>
      <c r="F94" s="49"/>
      <c r="G94" s="62">
        <f>((2^(1/12)^70)*((H$11+1.875)/16)*(E94*F94))^2*PI()*7.85/(10^9)</f>
        <v>0</v>
      </c>
      <c r="H94" s="58">
        <v>3</v>
      </c>
      <c r="I94" s="59">
        <f t="shared" si="3"/>
        <v>0</v>
      </c>
      <c r="J94" s="37"/>
      <c r="K94" s="38" t="s">
        <v>13</v>
      </c>
      <c r="L94" s="19" t="e">
        <f t="shared" si="2"/>
        <v>#N/A</v>
      </c>
      <c r="M94" s="65"/>
      <c r="N94" s="65"/>
      <c r="O94" s="126"/>
      <c r="P94" s="12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</row>
    <row r="95" spans="1:38" ht="18">
      <c r="A95" s="7">
        <v>72</v>
      </c>
      <c r="B95" s="34" t="s">
        <v>109</v>
      </c>
      <c r="C95" s="50"/>
      <c r="D95" s="39"/>
      <c r="E95" s="49"/>
      <c r="F95" s="49"/>
      <c r="G95" s="62">
        <f>((2^(1/12)^71)*((H$11+2)/16)*(E95*F95))^2*PI()*7.85/(10^9)</f>
        <v>0</v>
      </c>
      <c r="H95" s="58">
        <v>3</v>
      </c>
      <c r="I95" s="59">
        <f t="shared" si="3"/>
        <v>0</v>
      </c>
      <c r="J95" s="37"/>
      <c r="K95" s="38" t="s">
        <v>13</v>
      </c>
      <c r="L95" s="19" t="e">
        <f t="shared" si="2"/>
        <v>#N/A</v>
      </c>
      <c r="M95" s="127"/>
      <c r="N95" s="65"/>
      <c r="O95" s="126"/>
      <c r="P95" s="126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</row>
    <row r="96" spans="1:38" ht="18">
      <c r="A96" s="8">
        <v>73</v>
      </c>
      <c r="B96" s="35" t="s">
        <v>110</v>
      </c>
      <c r="C96" s="51"/>
      <c r="D96" s="39"/>
      <c r="E96" s="48"/>
      <c r="F96" s="48"/>
      <c r="G96" s="62">
        <f>((2^(1/12)^72)*((H$11+2.25)/16)*(E96*F96))^2*PI()*7.85/(10^9)</f>
        <v>0</v>
      </c>
      <c r="H96" s="58">
        <v>3</v>
      </c>
      <c r="I96" s="59">
        <f t="shared" si="3"/>
        <v>0</v>
      </c>
      <c r="J96" s="37"/>
      <c r="K96" s="38" t="s">
        <v>13</v>
      </c>
      <c r="L96" s="19" t="e">
        <f t="shared" si="2"/>
        <v>#N/A</v>
      </c>
      <c r="M96" s="65"/>
      <c r="N96" s="74"/>
      <c r="O96" s="74"/>
      <c r="P96" s="74"/>
      <c r="Q96" s="128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</row>
    <row r="97" spans="1:38" ht="18">
      <c r="A97" s="7">
        <v>74</v>
      </c>
      <c r="B97" s="34" t="s">
        <v>111</v>
      </c>
      <c r="C97" s="50"/>
      <c r="D97" s="39"/>
      <c r="E97" s="49"/>
      <c r="F97" s="49"/>
      <c r="G97" s="62">
        <f>((2^(1/12)^73)*((H$11+2.5)/16)*(E97*F97))^2*PI()*7.85/(10^9)</f>
        <v>0</v>
      </c>
      <c r="H97" s="58">
        <v>3</v>
      </c>
      <c r="I97" s="59">
        <f t="shared" si="3"/>
        <v>0</v>
      </c>
      <c r="J97" s="37"/>
      <c r="K97" s="38" t="s">
        <v>13</v>
      </c>
      <c r="L97" s="19" t="e">
        <f t="shared" si="2"/>
        <v>#N/A</v>
      </c>
      <c r="M97" s="65"/>
      <c r="N97" s="74"/>
      <c r="O97" s="74"/>
      <c r="P97" s="74"/>
      <c r="Q97" s="128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</row>
    <row r="98" spans="1:38" ht="18">
      <c r="A98" s="7">
        <v>75</v>
      </c>
      <c r="B98" s="34" t="s">
        <v>112</v>
      </c>
      <c r="C98" s="50"/>
      <c r="D98" s="39"/>
      <c r="E98" s="49"/>
      <c r="F98" s="49"/>
      <c r="G98" s="62">
        <f>((2^(1/12)^74)*((H$11+2.75)/16)*(E98*F98))^2*PI()*7.85/(10^9)</f>
        <v>0</v>
      </c>
      <c r="H98" s="58">
        <v>3</v>
      </c>
      <c r="I98" s="59">
        <f t="shared" si="3"/>
        <v>0</v>
      </c>
      <c r="J98" s="37"/>
      <c r="K98" s="38" t="s">
        <v>13</v>
      </c>
      <c r="L98" s="19" t="e">
        <f t="shared" si="2"/>
        <v>#N/A</v>
      </c>
      <c r="M98" s="65"/>
      <c r="N98" s="74"/>
      <c r="O98" s="74"/>
      <c r="P98" s="74"/>
      <c r="Q98" s="128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</row>
    <row r="99" spans="1:38" ht="18">
      <c r="A99" s="7">
        <v>76</v>
      </c>
      <c r="B99" s="34" t="s">
        <v>113</v>
      </c>
      <c r="C99" s="50"/>
      <c r="D99" s="39"/>
      <c r="E99" s="49"/>
      <c r="F99" s="49"/>
      <c r="G99" s="62">
        <f>((2^(1/12)^75)*((H$11+3)/16)*(E99*F99))^2*PI()*7.85/(10^9)</f>
        <v>0</v>
      </c>
      <c r="H99" s="58">
        <v>3</v>
      </c>
      <c r="I99" s="59">
        <f t="shared" si="3"/>
        <v>0</v>
      </c>
      <c r="J99" s="37"/>
      <c r="K99" s="38" t="s">
        <v>13</v>
      </c>
      <c r="L99" s="19" t="e">
        <f t="shared" si="2"/>
        <v>#N/A</v>
      </c>
      <c r="M99" s="65"/>
      <c r="N99" s="74"/>
      <c r="O99" s="74"/>
      <c r="P99" s="74"/>
      <c r="Q99" s="128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</row>
    <row r="100" spans="1:38" ht="18">
      <c r="A100" s="7">
        <v>77</v>
      </c>
      <c r="B100" s="34" t="s">
        <v>114</v>
      </c>
      <c r="C100" s="50"/>
      <c r="D100" s="39"/>
      <c r="E100" s="49"/>
      <c r="F100" s="49"/>
      <c r="G100" s="62">
        <f>((2^(1/12)^76)*((H$11+3.25)/16)*(E100*F100))^2*PI()*7.85/(10^9)</f>
        <v>0</v>
      </c>
      <c r="H100" s="58">
        <v>3</v>
      </c>
      <c r="I100" s="59">
        <f t="shared" si="3"/>
        <v>0</v>
      </c>
      <c r="J100" s="37"/>
      <c r="K100" s="38" t="s">
        <v>13</v>
      </c>
      <c r="L100" s="19" t="e">
        <f t="shared" si="2"/>
        <v>#N/A</v>
      </c>
      <c r="M100" s="65"/>
      <c r="N100" s="74"/>
      <c r="O100" s="74"/>
      <c r="P100" s="74"/>
      <c r="Q100" s="128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</row>
    <row r="101" spans="1:38" ht="18">
      <c r="A101" s="7">
        <v>78</v>
      </c>
      <c r="B101" s="34" t="s">
        <v>115</v>
      </c>
      <c r="C101" s="50"/>
      <c r="D101" s="39"/>
      <c r="E101" s="49"/>
      <c r="F101" s="49"/>
      <c r="G101" s="62">
        <f>((2^(1/12)^77)*((H$11+3.5)/16)*(E101*F101))^2*PI()*7.85/(10^9)</f>
        <v>0</v>
      </c>
      <c r="H101" s="58">
        <v>3</v>
      </c>
      <c r="I101" s="59">
        <f t="shared" si="3"/>
        <v>0</v>
      </c>
      <c r="J101" s="37"/>
      <c r="K101" s="38" t="s">
        <v>13</v>
      </c>
      <c r="L101" s="19" t="e">
        <f t="shared" si="2"/>
        <v>#N/A</v>
      </c>
      <c r="M101" s="65"/>
      <c r="N101" s="74"/>
      <c r="O101" s="74"/>
      <c r="P101" s="74"/>
      <c r="Q101" s="128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</row>
    <row r="102" spans="1:38" ht="18">
      <c r="A102" s="7">
        <v>79</v>
      </c>
      <c r="B102" s="34" t="s">
        <v>116</v>
      </c>
      <c r="C102" s="50"/>
      <c r="D102" s="39"/>
      <c r="E102" s="49"/>
      <c r="F102" s="49"/>
      <c r="G102" s="62">
        <f>((2^(1/12)^78)*((H$11+3.75)/16)*(E102*F102))^2*PI()*7.85/(10^9)</f>
        <v>0</v>
      </c>
      <c r="H102" s="58">
        <v>3</v>
      </c>
      <c r="I102" s="59">
        <f t="shared" si="3"/>
        <v>0</v>
      </c>
      <c r="J102" s="37"/>
      <c r="K102" s="38" t="s">
        <v>13</v>
      </c>
      <c r="L102" s="19" t="e">
        <f t="shared" si="2"/>
        <v>#N/A</v>
      </c>
      <c r="M102" s="65"/>
      <c r="N102" s="74"/>
      <c r="O102" s="74"/>
      <c r="P102" s="74"/>
      <c r="Q102" s="128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</row>
    <row r="103" spans="1:38" ht="18">
      <c r="A103" s="7">
        <v>80</v>
      </c>
      <c r="B103" s="34" t="s">
        <v>117</v>
      </c>
      <c r="C103" s="50"/>
      <c r="D103" s="39"/>
      <c r="E103" s="49"/>
      <c r="F103" s="49"/>
      <c r="G103" s="62">
        <f>((2^(1/12)^79)*((H$11+4)/16)*(E103*F103))^2*PI()*7.85/(10^9)</f>
        <v>0</v>
      </c>
      <c r="H103" s="58">
        <v>3</v>
      </c>
      <c r="I103" s="59">
        <f t="shared" si="3"/>
        <v>0</v>
      </c>
      <c r="J103" s="37"/>
      <c r="K103" s="38" t="s">
        <v>13</v>
      </c>
      <c r="L103" s="19" t="e">
        <f t="shared" si="2"/>
        <v>#N/A</v>
      </c>
      <c r="M103" s="65"/>
      <c r="N103" s="74"/>
      <c r="O103" s="74"/>
      <c r="P103" s="74"/>
      <c r="Q103" s="128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</row>
    <row r="104" spans="1:38" ht="18">
      <c r="A104" s="7">
        <v>81</v>
      </c>
      <c r="B104" s="34" t="s">
        <v>118</v>
      </c>
      <c r="C104" s="51"/>
      <c r="D104" s="39"/>
      <c r="E104" s="48"/>
      <c r="F104" s="49"/>
      <c r="G104" s="62">
        <f>((2^(1/12)^80)*((H$11+4.5)/16)*(E104*F104))^2*PI()*7.85/(10^9)</f>
        <v>0</v>
      </c>
      <c r="H104" s="58">
        <v>3</v>
      </c>
      <c r="I104" s="59">
        <f t="shared" si="3"/>
        <v>0</v>
      </c>
      <c r="J104" s="37"/>
      <c r="K104" s="38" t="s">
        <v>21</v>
      </c>
      <c r="L104" s="19" t="e">
        <f aca="true" t="shared" si="4" ref="L104:L115">100/(IF($K104="XM",VLOOKUP(C104,$Q$16:$R$33,2),IF($K104="M",VLOOKUP(C104,$T$16:$U$47,2),IF($K104=0,VLOOKUP(C104,$W$16:$X$47,2),IF($K104=1,VLOOKUP(C104,$Z$16:$AA$50,2),IF($K104=2,VLOOKUP(C104,$AC$16:$AD$53,2)))))))*G104</f>
        <v>#N/A</v>
      </c>
      <c r="M104" s="65"/>
      <c r="N104" s="74"/>
      <c r="O104" s="74"/>
      <c r="P104" s="74"/>
      <c r="Q104" s="128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</row>
    <row r="105" spans="1:38" ht="18">
      <c r="A105" s="7">
        <v>82</v>
      </c>
      <c r="B105" s="34" t="s">
        <v>119</v>
      </c>
      <c r="C105" s="50"/>
      <c r="D105" s="39"/>
      <c r="E105" s="49"/>
      <c r="F105" s="49"/>
      <c r="G105" s="62">
        <f>((2^(1/12)^81)*((H$11+5)/16)*(E105*F105))^2*PI()*7.85/(10^9)</f>
        <v>0</v>
      </c>
      <c r="H105" s="58">
        <v>3</v>
      </c>
      <c r="I105" s="59">
        <f t="shared" si="3"/>
        <v>0</v>
      </c>
      <c r="J105" s="37"/>
      <c r="K105" s="38" t="s">
        <v>21</v>
      </c>
      <c r="L105" s="19" t="e">
        <f t="shared" si="4"/>
        <v>#N/A</v>
      </c>
      <c r="M105" s="65"/>
      <c r="N105" s="74"/>
      <c r="O105" s="74"/>
      <c r="P105" s="74"/>
      <c r="Q105" s="128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</row>
    <row r="106" spans="1:38" ht="18">
      <c r="A106" s="7">
        <v>83</v>
      </c>
      <c r="B106" s="34" t="s">
        <v>120</v>
      </c>
      <c r="C106" s="50"/>
      <c r="D106" s="39"/>
      <c r="E106" s="49"/>
      <c r="F106" s="49"/>
      <c r="G106" s="62">
        <f>((2^(1/12)^82)*((H$11+5.5)/16)*(E106*F106))^2*PI()*7.85/(10^9)</f>
        <v>0</v>
      </c>
      <c r="H106" s="58">
        <v>3</v>
      </c>
      <c r="I106" s="59">
        <f t="shared" si="3"/>
        <v>0</v>
      </c>
      <c r="J106" s="37"/>
      <c r="K106" s="38" t="s">
        <v>21</v>
      </c>
      <c r="L106" s="19" t="e">
        <f t="shared" si="4"/>
        <v>#N/A</v>
      </c>
      <c r="M106" s="65"/>
      <c r="N106" s="74"/>
      <c r="O106" s="74"/>
      <c r="P106" s="74"/>
      <c r="Q106" s="128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</row>
    <row r="107" spans="1:38" ht="18">
      <c r="A107" s="7">
        <v>84</v>
      </c>
      <c r="B107" s="34" t="s">
        <v>121</v>
      </c>
      <c r="C107" s="50"/>
      <c r="D107" s="39"/>
      <c r="E107" s="49"/>
      <c r="F107" s="49"/>
      <c r="G107" s="62">
        <f>((2^(1/12)^83)*((H$11+6)/16)*(E107*F107))^2*PI()*7.85/(10^9)</f>
        <v>0</v>
      </c>
      <c r="H107" s="58">
        <v>3</v>
      </c>
      <c r="I107" s="59">
        <f t="shared" si="3"/>
        <v>0</v>
      </c>
      <c r="J107" s="37"/>
      <c r="K107" s="38" t="s">
        <v>21</v>
      </c>
      <c r="L107" s="19" t="e">
        <f t="shared" si="4"/>
        <v>#N/A</v>
      </c>
      <c r="M107" s="65"/>
      <c r="N107" s="74"/>
      <c r="O107" s="74"/>
      <c r="P107" s="74"/>
      <c r="Q107" s="128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</row>
    <row r="108" spans="1:38" ht="18">
      <c r="A108" s="8">
        <v>85</v>
      </c>
      <c r="B108" s="35" t="s">
        <v>122</v>
      </c>
      <c r="C108" s="50"/>
      <c r="D108" s="39"/>
      <c r="E108" s="49"/>
      <c r="F108" s="48"/>
      <c r="G108" s="62">
        <f>((2^(1/12)^84)*((H$11+7)/16)*(E108*F108))^2*PI()*7.85/(10^9)</f>
        <v>0</v>
      </c>
      <c r="H108" s="58">
        <v>3</v>
      </c>
      <c r="I108" s="59">
        <f t="shared" si="3"/>
        <v>0</v>
      </c>
      <c r="J108" s="37"/>
      <c r="K108" s="38" t="s">
        <v>21</v>
      </c>
      <c r="L108" s="19" t="e">
        <f t="shared" si="4"/>
        <v>#N/A</v>
      </c>
      <c r="M108" s="65"/>
      <c r="N108" s="74"/>
      <c r="O108" s="74"/>
      <c r="P108" s="74"/>
      <c r="Q108" s="128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</row>
    <row r="109" spans="1:38" ht="18">
      <c r="A109" s="7">
        <v>86</v>
      </c>
      <c r="B109" s="34" t="s">
        <v>123</v>
      </c>
      <c r="C109" s="50"/>
      <c r="D109" s="39"/>
      <c r="E109" s="49"/>
      <c r="F109" s="49"/>
      <c r="G109" s="62">
        <f>((2^(1/12)^85)*((H$11+8)/16)*(E109*F109))^2*PI()*7.85/(10^9)</f>
        <v>0</v>
      </c>
      <c r="H109" s="58">
        <v>3</v>
      </c>
      <c r="I109" s="59">
        <f t="shared" si="3"/>
        <v>0</v>
      </c>
      <c r="J109" s="37"/>
      <c r="K109" s="38" t="s">
        <v>21</v>
      </c>
      <c r="L109" s="19" t="e">
        <f t="shared" si="4"/>
        <v>#N/A</v>
      </c>
      <c r="M109" s="65"/>
      <c r="N109" s="74"/>
      <c r="O109" s="74"/>
      <c r="P109" s="74"/>
      <c r="Q109" s="128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</row>
    <row r="110" spans="1:38" ht="18">
      <c r="A110" s="7">
        <v>87</v>
      </c>
      <c r="B110" s="34" t="s">
        <v>124</v>
      </c>
      <c r="C110" s="51"/>
      <c r="D110" s="39"/>
      <c r="E110" s="48"/>
      <c r="F110" s="49"/>
      <c r="G110" s="62">
        <f>((2^(1/12)^86)*((H$11+9)/16)*(E110*F110))^2*PI()*7.85/(10^9)</f>
        <v>0</v>
      </c>
      <c r="H110" s="58">
        <v>3</v>
      </c>
      <c r="I110" s="59">
        <f t="shared" si="3"/>
        <v>0</v>
      </c>
      <c r="J110" s="37"/>
      <c r="K110" s="38" t="s">
        <v>21</v>
      </c>
      <c r="L110" s="19" t="e">
        <f t="shared" si="4"/>
        <v>#N/A</v>
      </c>
      <c r="M110" s="65"/>
      <c r="N110" s="74"/>
      <c r="O110" s="74"/>
      <c r="P110" s="74"/>
      <c r="Q110" s="128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</row>
    <row r="111" spans="1:38" ht="18">
      <c r="A111" s="7">
        <v>88</v>
      </c>
      <c r="B111" s="36" t="s">
        <v>125</v>
      </c>
      <c r="C111" s="63">
        <v>0.8</v>
      </c>
      <c r="D111" s="39"/>
      <c r="E111" s="64">
        <v>0.8</v>
      </c>
      <c r="F111" s="64">
        <v>56</v>
      </c>
      <c r="G111" s="62">
        <f>((2^(1/12)^87)*((H$11+10)/16)*(E111*F111))^2*PI()*7.85/(10^9)</f>
        <v>915.2661459239223</v>
      </c>
      <c r="H111" s="58">
        <v>3</v>
      </c>
      <c r="I111" s="59">
        <f t="shared" si="3"/>
        <v>2745.7984377717667</v>
      </c>
      <c r="J111" s="37"/>
      <c r="K111" s="38" t="s">
        <v>21</v>
      </c>
      <c r="L111" s="19">
        <f t="shared" si="4"/>
        <v>84.13712658387495</v>
      </c>
      <c r="M111" s="65"/>
      <c r="N111" s="74"/>
      <c r="O111" s="74"/>
      <c r="P111" s="74"/>
      <c r="Q111" s="128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</row>
    <row r="112" spans="1:38" ht="18">
      <c r="A112" s="9">
        <v>89</v>
      </c>
      <c r="B112" s="9" t="s">
        <v>126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4" t="e">
        <f t="shared" si="4"/>
        <v>#N/A</v>
      </c>
      <c r="M112" s="65"/>
      <c r="N112" s="74"/>
      <c r="O112" s="74"/>
      <c r="P112" s="74"/>
      <c r="Q112" s="128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</row>
    <row r="113" spans="1:38" ht="18">
      <c r="A113" s="9">
        <v>90</v>
      </c>
      <c r="B113" s="9" t="s">
        <v>127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4" t="e">
        <f t="shared" si="4"/>
        <v>#N/A</v>
      </c>
      <c r="M113" s="65"/>
      <c r="N113" s="74"/>
      <c r="O113" s="74"/>
      <c r="P113" s="74"/>
      <c r="Q113" s="128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</row>
    <row r="114" spans="1:38" ht="18">
      <c r="A114" s="9">
        <v>91</v>
      </c>
      <c r="B114" s="9" t="s">
        <v>128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4" t="e">
        <f t="shared" si="4"/>
        <v>#N/A</v>
      </c>
      <c r="M114" s="65"/>
      <c r="N114" s="74"/>
      <c r="O114" s="74"/>
      <c r="P114" s="74"/>
      <c r="Q114" s="128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</row>
    <row r="115" spans="1:38" ht="18">
      <c r="A115" s="9">
        <v>92</v>
      </c>
      <c r="B115" s="9" t="s">
        <v>129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4" t="e">
        <f t="shared" si="4"/>
        <v>#N/A</v>
      </c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</row>
    <row r="116" spans="1:38" ht="18" thickBot="1">
      <c r="A116" s="10">
        <v>93</v>
      </c>
      <c r="B116" s="9" t="s">
        <v>130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4" t="e">
        <f>100/(IF($K116="XM",VLOOKUP(C116,$Q$16:$R$33,2),IF($K116="M",VLOOKUP(C116,$T$16:$U$47,2),IF($K116=0,VLOOKUP(C116,$W$16:$X$47,2),IF($K116=1,VLOOKUP(C116,$Z$16:$AA$50,2),IF($K116=2,VLOOKUP(C116,$AC$16:$AD$53,2)))))))*G116</f>
        <v>#N/A</v>
      </c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</row>
    <row r="117" spans="1:38" ht="63" customHeight="1" thickBot="1">
      <c r="A117" s="17" t="s">
        <v>1</v>
      </c>
      <c r="B117" s="18" t="s">
        <v>2</v>
      </c>
      <c r="C117" s="25" t="s">
        <v>22</v>
      </c>
      <c r="D117" s="26" t="s">
        <v>17</v>
      </c>
      <c r="E117" s="27" t="s">
        <v>23</v>
      </c>
      <c r="F117" s="27" t="s">
        <v>133</v>
      </c>
      <c r="G117" s="28" t="s">
        <v>16</v>
      </c>
      <c r="H117" s="27" t="s">
        <v>24</v>
      </c>
      <c r="I117" s="29" t="s">
        <v>25</v>
      </c>
      <c r="J117" s="27" t="s">
        <v>26</v>
      </c>
      <c r="K117" s="27" t="s">
        <v>27</v>
      </c>
      <c r="L117" s="30" t="s">
        <v>28</v>
      </c>
      <c r="M117" s="65"/>
      <c r="N117" s="65" t="s">
        <v>138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</row>
    <row r="120" ht="15">
      <c r="AB120" s="23"/>
    </row>
  </sheetData>
  <sheetProtection password="E15F" sheet="1" objects="1" scenarios="1" formatCells="0" formatColumns="0" selectLockedCells="1"/>
  <conditionalFormatting sqref="L15:L77">
    <cfRule type="cellIs" priority="32" dxfId="0" operator="lessThan" stopIfTrue="1">
      <formula>50</formula>
    </cfRule>
    <cfRule type="cellIs" priority="33" dxfId="0" operator="greaterThan" stopIfTrue="1">
      <formula>70</formula>
    </cfRule>
  </conditionalFormatting>
  <conditionalFormatting sqref="L78:L83">
    <cfRule type="cellIs" priority="22" dxfId="0" operator="lessThan" stopIfTrue="1">
      <formula>53</formula>
    </cfRule>
    <cfRule type="cellIs" priority="24" dxfId="0" operator="greaterThan" stopIfTrue="1">
      <formula>73</formula>
    </cfRule>
  </conditionalFormatting>
  <conditionalFormatting sqref="L84:L89">
    <cfRule type="cellIs" priority="20" dxfId="0" operator="lessThan" stopIfTrue="1">
      <formula>55</formula>
    </cfRule>
    <cfRule type="cellIs" priority="21" dxfId="0" operator="greaterThan" stopIfTrue="1">
      <formula>75</formula>
    </cfRule>
  </conditionalFormatting>
  <conditionalFormatting sqref="L90:L95">
    <cfRule type="cellIs" priority="18" dxfId="0" operator="lessThan" stopIfTrue="1">
      <formula>58</formula>
    </cfRule>
    <cfRule type="cellIs" priority="19" dxfId="0" operator="greaterThan" stopIfTrue="1">
      <formula>76</formula>
    </cfRule>
  </conditionalFormatting>
  <conditionalFormatting sqref="M108">
    <cfRule type="cellIs" priority="17" dxfId="0" operator="greaterThan" stopIfTrue="1">
      <formula>78</formula>
    </cfRule>
  </conditionalFormatting>
  <conditionalFormatting sqref="L96:L101">
    <cfRule type="cellIs" priority="15" dxfId="0" operator="greaterThan" stopIfTrue="1">
      <formula>78</formula>
    </cfRule>
    <cfRule type="cellIs" priority="16" dxfId="0" operator="lessThan" stopIfTrue="1">
      <formula>60</formula>
    </cfRule>
  </conditionalFormatting>
  <conditionalFormatting sqref="L102:L107">
    <cfRule type="cellIs" priority="13" dxfId="0" operator="lessThan" stopIfTrue="1">
      <formula>65</formula>
    </cfRule>
    <cfRule type="cellIs" priority="14" dxfId="0" operator="greaterThan" stopIfTrue="1">
      <formula>81</formula>
    </cfRule>
  </conditionalFormatting>
  <conditionalFormatting sqref="L108:L116">
    <cfRule type="cellIs" priority="11" dxfId="0" operator="lessThan" stopIfTrue="1">
      <formula>70</formula>
    </cfRule>
    <cfRule type="cellIs" priority="12" dxfId="0" operator="greaterThan" stopIfTrue="1">
      <formula>85</formula>
    </cfRule>
  </conditionalFormatting>
  <conditionalFormatting sqref="L112:L116">
    <cfRule type="cellIs" priority="9" dxfId="0" operator="lessThan" stopIfTrue="1">
      <formula>70</formula>
    </cfRule>
    <cfRule type="cellIs" priority="10" dxfId="0" operator="greaterThan" stopIfTrue="1">
      <formula>85</formula>
    </cfRule>
  </conditionalFormatting>
  <conditionalFormatting sqref="L112:L116">
    <cfRule type="cellIs" priority="7" dxfId="0" operator="lessThan" stopIfTrue="1">
      <formula>50</formula>
    </cfRule>
    <cfRule type="cellIs" priority="8" dxfId="0" operator="greaterThan" stopIfTrue="1">
      <formula>70</formula>
    </cfRule>
  </conditionalFormatting>
  <conditionalFormatting sqref="L15:L23">
    <cfRule type="cellIs" priority="5" dxfId="0" operator="lessThan" stopIfTrue="1">
      <formula>70</formula>
    </cfRule>
    <cfRule type="cellIs" priority="6" dxfId="0" operator="greaterThan" stopIfTrue="1">
      <formula>85</formula>
    </cfRule>
  </conditionalFormatting>
  <conditionalFormatting sqref="L15:L23">
    <cfRule type="cellIs" priority="3" dxfId="0" operator="lessThan" stopIfTrue="1">
      <formula>70</formula>
    </cfRule>
    <cfRule type="cellIs" priority="4" dxfId="0" operator="greaterThan" stopIfTrue="1">
      <formula>85</formula>
    </cfRule>
  </conditionalFormatting>
  <conditionalFormatting sqref="L15:L23">
    <cfRule type="cellIs" priority="1" dxfId="0" operator="lessThan" stopIfTrue="1">
      <formula>50</formula>
    </cfRule>
    <cfRule type="cellIs" priority="2" dxfId="0" operator="greaterThan" stopIfTrue="1">
      <formula>70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Claire</cp:lastModifiedBy>
  <cp:lastPrinted>2012-08-31T11:10:13Z</cp:lastPrinted>
  <dcterms:created xsi:type="dcterms:W3CDTF">2006-07-12T15:58:17Z</dcterms:created>
  <dcterms:modified xsi:type="dcterms:W3CDTF">2012-09-26T21:17:24Z</dcterms:modified>
  <cp:category/>
  <cp:version/>
  <cp:contentType/>
  <cp:contentStatus/>
</cp:coreProperties>
</file>